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сентябрь 2023 (2)" sheetId="1" r:id="rId1"/>
  </sheets>
  <definedNames>
    <definedName name="_xlnm.Print_Titles" localSheetId="0">'сентябрь 2023 (2)'!$B:$C,'сентябрь 2023 (2)'!$4:$9</definedName>
    <definedName name="_xlnm.Print_Area" localSheetId="0">'сентябрь 2023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9" i="1" l="1"/>
  <c r="Z179" i="1"/>
  <c r="Y179" i="1"/>
  <c r="AC179" i="1" s="1"/>
  <c r="X179" i="1"/>
  <c r="U179" i="1"/>
  <c r="T179" i="1"/>
  <c r="R179" i="1"/>
  <c r="Q179" i="1"/>
  <c r="P179" i="1"/>
  <c r="O179" i="1"/>
  <c r="K179" i="1"/>
  <c r="J179" i="1"/>
  <c r="I179" i="1"/>
  <c r="H179" i="1"/>
  <c r="G179" i="1"/>
  <c r="AC178" i="1"/>
  <c r="AD178" i="1" s="1"/>
  <c r="AB178" i="1"/>
  <c r="V178" i="1"/>
  <c r="S178" i="1"/>
  <c r="M178" i="1"/>
  <c r="N178" i="1" s="1"/>
  <c r="L178" i="1"/>
  <c r="F178" i="1"/>
  <c r="AD177" i="1"/>
  <c r="AC177" i="1"/>
  <c r="AB177" i="1"/>
  <c r="V177" i="1"/>
  <c r="S177" i="1"/>
  <c r="L177" i="1"/>
  <c r="M177" i="1" s="1"/>
  <c r="N177" i="1" s="1"/>
  <c r="F177" i="1"/>
  <c r="AC176" i="1"/>
  <c r="AD176" i="1" s="1"/>
  <c r="AB176" i="1"/>
  <c r="V176" i="1"/>
  <c r="S176" i="1"/>
  <c r="L176" i="1"/>
  <c r="M176" i="1" s="1"/>
  <c r="F176" i="1"/>
  <c r="AC175" i="1"/>
  <c r="AD175" i="1" s="1"/>
  <c r="AB175" i="1"/>
  <c r="V175" i="1"/>
  <c r="V179" i="1" s="1"/>
  <c r="M175" i="1"/>
  <c r="N175" i="1" s="1"/>
  <c r="F175" i="1"/>
  <c r="AA174" i="1"/>
  <c r="Z174" i="1"/>
  <c r="Y174" i="1"/>
  <c r="AC174" i="1" s="1"/>
  <c r="X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AD173" i="1"/>
  <c r="AC173" i="1"/>
  <c r="AB173" i="1"/>
  <c r="V173" i="1"/>
  <c r="S173" i="1"/>
  <c r="M173" i="1"/>
  <c r="N173" i="1" s="1"/>
  <c r="F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N171" i="1" s="1"/>
  <c r="F171" i="1"/>
  <c r="AD170" i="1"/>
  <c r="AC170" i="1"/>
  <c r="AB170" i="1"/>
  <c r="V170" i="1"/>
  <c r="S170" i="1"/>
  <c r="M170" i="1"/>
  <c r="N170" i="1" s="1"/>
  <c r="F170" i="1"/>
  <c r="AD169" i="1"/>
  <c r="AC169" i="1"/>
  <c r="AB169" i="1"/>
  <c r="V169" i="1"/>
  <c r="S169" i="1"/>
  <c r="M169" i="1"/>
  <c r="N169" i="1" s="1"/>
  <c r="F169" i="1"/>
  <c r="AC168" i="1"/>
  <c r="AB168" i="1"/>
  <c r="V168" i="1"/>
  <c r="V174" i="1" s="1"/>
  <c r="S168" i="1"/>
  <c r="S174" i="1" s="1"/>
  <c r="M168" i="1"/>
  <c r="F168" i="1"/>
  <c r="AA167" i="1"/>
  <c r="AC167" i="1" s="1"/>
  <c r="Z167" i="1"/>
  <c r="Y167" i="1"/>
  <c r="X167" i="1"/>
  <c r="U167" i="1"/>
  <c r="T167" i="1"/>
  <c r="R167" i="1"/>
  <c r="Q167" i="1"/>
  <c r="P167" i="1"/>
  <c r="O167" i="1"/>
  <c r="L167" i="1"/>
  <c r="K167" i="1"/>
  <c r="J167" i="1"/>
  <c r="I167" i="1"/>
  <c r="H167" i="1"/>
  <c r="G167" i="1"/>
  <c r="AD166" i="1"/>
  <c r="AC166" i="1"/>
  <c r="AB166" i="1"/>
  <c r="V166" i="1"/>
  <c r="S166" i="1"/>
  <c r="N166" i="1"/>
  <c r="M166" i="1"/>
  <c r="F166" i="1"/>
  <c r="AD165" i="1"/>
  <c r="AC165" i="1"/>
  <c r="AB165" i="1"/>
  <c r="V165" i="1"/>
  <c r="S165" i="1"/>
  <c r="N165" i="1"/>
  <c r="M165" i="1"/>
  <c r="F165" i="1"/>
  <c r="AD164" i="1"/>
  <c r="AC164" i="1"/>
  <c r="AB164" i="1"/>
  <c r="V164" i="1"/>
  <c r="S164" i="1"/>
  <c r="N164" i="1"/>
  <c r="M164" i="1"/>
  <c r="F164" i="1"/>
  <c r="AD163" i="1"/>
  <c r="AC163" i="1"/>
  <c r="AB163" i="1"/>
  <c r="V163" i="1"/>
  <c r="S163" i="1"/>
  <c r="N163" i="1"/>
  <c r="M163" i="1"/>
  <c r="F163" i="1"/>
  <c r="AD162" i="1"/>
  <c r="AC162" i="1"/>
  <c r="AB162" i="1"/>
  <c r="V162" i="1"/>
  <c r="S162" i="1"/>
  <c r="N162" i="1"/>
  <c r="M162" i="1"/>
  <c r="F162" i="1"/>
  <c r="AD161" i="1"/>
  <c r="AC161" i="1"/>
  <c r="AB161" i="1"/>
  <c r="V161" i="1"/>
  <c r="S161" i="1"/>
  <c r="N161" i="1"/>
  <c r="M161" i="1"/>
  <c r="F161" i="1"/>
  <c r="AD160" i="1"/>
  <c r="AC160" i="1"/>
  <c r="AB160" i="1"/>
  <c r="V160" i="1"/>
  <c r="S160" i="1"/>
  <c r="N160" i="1"/>
  <c r="M160" i="1"/>
  <c r="F160" i="1"/>
  <c r="AD159" i="1"/>
  <c r="AC159" i="1"/>
  <c r="AB159" i="1"/>
  <c r="V159" i="1"/>
  <c r="V167" i="1" s="1"/>
  <c r="S159" i="1"/>
  <c r="S167" i="1" s="1"/>
  <c r="N159" i="1"/>
  <c r="M159" i="1"/>
  <c r="M167" i="1" s="1"/>
  <c r="F159" i="1"/>
  <c r="AA158" i="1"/>
  <c r="Z158" i="1"/>
  <c r="Y158" i="1"/>
  <c r="AC158" i="1" s="1"/>
  <c r="X158" i="1"/>
  <c r="V158" i="1"/>
  <c r="U158" i="1"/>
  <c r="T158" i="1"/>
  <c r="R158" i="1"/>
  <c r="Q158" i="1"/>
  <c r="P158" i="1"/>
  <c r="O158" i="1"/>
  <c r="M158" i="1"/>
  <c r="L158" i="1"/>
  <c r="K158" i="1"/>
  <c r="J158" i="1"/>
  <c r="I158" i="1"/>
  <c r="H158" i="1"/>
  <c r="G158" i="1"/>
  <c r="AC157" i="1"/>
  <c r="AD157" i="1" s="1"/>
  <c r="AB157" i="1"/>
  <c r="V157" i="1"/>
  <c r="S157" i="1"/>
  <c r="M157" i="1"/>
  <c r="N157" i="1" s="1"/>
  <c r="F157" i="1"/>
  <c r="AC156" i="1"/>
  <c r="AD156" i="1" s="1"/>
  <c r="AB156" i="1"/>
  <c r="V156" i="1"/>
  <c r="S156" i="1"/>
  <c r="M156" i="1"/>
  <c r="F156" i="1"/>
  <c r="AC155" i="1"/>
  <c r="AD155" i="1" s="1"/>
  <c r="AB155" i="1"/>
  <c r="V155" i="1"/>
  <c r="S155" i="1"/>
  <c r="M155" i="1"/>
  <c r="F155" i="1"/>
  <c r="AC154" i="1"/>
  <c r="AD154" i="1" s="1"/>
  <c r="AB154" i="1"/>
  <c r="V154" i="1"/>
  <c r="S154" i="1"/>
  <c r="M154" i="1"/>
  <c r="N154" i="1" s="1"/>
  <c r="F154" i="1"/>
  <c r="AC153" i="1"/>
  <c r="AD153" i="1" s="1"/>
  <c r="AB153" i="1"/>
  <c r="V153" i="1"/>
  <c r="S153" i="1"/>
  <c r="M153" i="1"/>
  <c r="N153" i="1" s="1"/>
  <c r="F153" i="1"/>
  <c r="AC152" i="1"/>
  <c r="AD152" i="1" s="1"/>
  <c r="AB152" i="1"/>
  <c r="V152" i="1"/>
  <c r="S152" i="1"/>
  <c r="S158" i="1" s="1"/>
  <c r="M152" i="1"/>
  <c r="F152" i="1"/>
  <c r="AA151" i="1"/>
  <c r="AC151" i="1" s="1"/>
  <c r="Z151" i="1"/>
  <c r="Y151" i="1"/>
  <c r="X151" i="1"/>
  <c r="U151" i="1"/>
  <c r="T151" i="1"/>
  <c r="R151" i="1"/>
  <c r="Q151" i="1"/>
  <c r="P151" i="1"/>
  <c r="O151" i="1"/>
  <c r="L151" i="1"/>
  <c r="I151" i="1"/>
  <c r="H151" i="1"/>
  <c r="G151" i="1"/>
  <c r="AD150" i="1"/>
  <c r="AC150" i="1"/>
  <c r="AB150" i="1"/>
  <c r="V150" i="1"/>
  <c r="S150" i="1"/>
  <c r="N150" i="1"/>
  <c r="M150" i="1"/>
  <c r="F150" i="1"/>
  <c r="AD149" i="1"/>
  <c r="AC149" i="1"/>
  <c r="AB149" i="1"/>
  <c r="V149" i="1"/>
  <c r="S149" i="1"/>
  <c r="N149" i="1"/>
  <c r="M149" i="1"/>
  <c r="F149" i="1"/>
  <c r="AD148" i="1"/>
  <c r="AC148" i="1"/>
  <c r="AB148" i="1"/>
  <c r="V148" i="1"/>
  <c r="S148" i="1"/>
  <c r="N148" i="1"/>
  <c r="M148" i="1"/>
  <c r="F148" i="1"/>
  <c r="AD147" i="1"/>
  <c r="AC147" i="1"/>
  <c r="AB147" i="1"/>
  <c r="V147" i="1"/>
  <c r="S147" i="1"/>
  <c r="N147" i="1"/>
  <c r="M147" i="1"/>
  <c r="F147" i="1"/>
  <c r="AD146" i="1"/>
  <c r="AC146" i="1"/>
  <c r="AB146" i="1"/>
  <c r="V146" i="1"/>
  <c r="V151" i="1" s="1"/>
  <c r="S146" i="1"/>
  <c r="S151" i="1" s="1"/>
  <c r="N146" i="1"/>
  <c r="M146" i="1"/>
  <c r="F146" i="1"/>
  <c r="AB145" i="1"/>
  <c r="M145" i="1"/>
  <c r="AC144" i="1"/>
  <c r="AA144" i="1"/>
  <c r="Z144" i="1"/>
  <c r="Y144" i="1"/>
  <c r="X144" i="1"/>
  <c r="U144" i="1"/>
  <c r="T144" i="1"/>
  <c r="R144" i="1"/>
  <c r="Q144" i="1"/>
  <c r="P144" i="1"/>
  <c r="O144" i="1"/>
  <c r="L144" i="1"/>
  <c r="K144" i="1"/>
  <c r="J144" i="1"/>
  <c r="I144" i="1"/>
  <c r="H144" i="1"/>
  <c r="G144" i="1"/>
  <c r="AC143" i="1"/>
  <c r="AD143" i="1" s="1"/>
  <c r="AB143" i="1"/>
  <c r="V143" i="1"/>
  <c r="S143" i="1"/>
  <c r="M143" i="1"/>
  <c r="N143" i="1" s="1"/>
  <c r="F143" i="1"/>
  <c r="AC142" i="1"/>
  <c r="AD142" i="1" s="1"/>
  <c r="AB142" i="1"/>
  <c r="V142" i="1"/>
  <c r="S142" i="1"/>
  <c r="M142" i="1"/>
  <c r="N142" i="1" s="1"/>
  <c r="F142" i="1"/>
  <c r="AC141" i="1"/>
  <c r="AD141" i="1" s="1"/>
  <c r="AB141" i="1"/>
  <c r="V141" i="1"/>
  <c r="S141" i="1"/>
  <c r="M141" i="1"/>
  <c r="N141" i="1" s="1"/>
  <c r="F141" i="1"/>
  <c r="AC140" i="1"/>
  <c r="AD140" i="1" s="1"/>
  <c r="AB140" i="1"/>
  <c r="V140" i="1"/>
  <c r="V144" i="1" s="1"/>
  <c r="S140" i="1"/>
  <c r="S144" i="1" s="1"/>
  <c r="M140" i="1"/>
  <c r="F140" i="1"/>
  <c r="AA139" i="1"/>
  <c r="Z139" i="1"/>
  <c r="Y139" i="1"/>
  <c r="AC139" i="1" s="1"/>
  <c r="X139" i="1"/>
  <c r="U139" i="1"/>
  <c r="T139" i="1"/>
  <c r="R139" i="1"/>
  <c r="Q139" i="1"/>
  <c r="P139" i="1"/>
  <c r="O139" i="1"/>
  <c r="L139" i="1"/>
  <c r="K139" i="1"/>
  <c r="J139" i="1"/>
  <c r="I139" i="1"/>
  <c r="H139" i="1"/>
  <c r="G139" i="1"/>
  <c r="AD138" i="1"/>
  <c r="AC138" i="1"/>
  <c r="AB138" i="1"/>
  <c r="V138" i="1"/>
  <c r="S138" i="1"/>
  <c r="M138" i="1"/>
  <c r="F138" i="1"/>
  <c r="N138" i="1" s="1"/>
  <c r="AD137" i="1"/>
  <c r="AC137" i="1"/>
  <c r="AB137" i="1"/>
  <c r="V137" i="1"/>
  <c r="S137" i="1"/>
  <c r="M137" i="1"/>
  <c r="F137" i="1"/>
  <c r="N137" i="1" s="1"/>
  <c r="AD136" i="1"/>
  <c r="AC136" i="1"/>
  <c r="AB136" i="1"/>
  <c r="V136" i="1"/>
  <c r="S136" i="1"/>
  <c r="M136" i="1"/>
  <c r="F136" i="1"/>
  <c r="N136" i="1" s="1"/>
  <c r="AD135" i="1"/>
  <c r="AC135" i="1"/>
  <c r="AB135" i="1"/>
  <c r="V135" i="1"/>
  <c r="V139" i="1" s="1"/>
  <c r="S135" i="1"/>
  <c r="S139" i="1" s="1"/>
  <c r="M135" i="1"/>
  <c r="M139" i="1" s="1"/>
  <c r="F135" i="1"/>
  <c r="N135" i="1" s="1"/>
  <c r="N134" i="1"/>
  <c r="M134" i="1"/>
  <c r="AA133" i="1"/>
  <c r="Z133" i="1"/>
  <c r="Y133" i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AD132" i="1"/>
  <c r="AC132" i="1"/>
  <c r="AB132" i="1"/>
  <c r="V132" i="1"/>
  <c r="S132" i="1"/>
  <c r="N132" i="1"/>
  <c r="M132" i="1"/>
  <c r="F132" i="1"/>
  <c r="AD131" i="1"/>
  <c r="AB131" i="1"/>
  <c r="V131" i="1"/>
  <c r="S131" i="1"/>
  <c r="M131" i="1"/>
  <c r="N131" i="1" s="1"/>
  <c r="F131" i="1"/>
  <c r="AC130" i="1"/>
  <c r="AD130" i="1" s="1"/>
  <c r="AB130" i="1"/>
  <c r="V130" i="1"/>
  <c r="S130" i="1"/>
  <c r="M130" i="1"/>
  <c r="N130" i="1" s="1"/>
  <c r="F130" i="1"/>
  <c r="AC129" i="1"/>
  <c r="AD129" i="1" s="1"/>
  <c r="AB129" i="1"/>
  <c r="V129" i="1"/>
  <c r="M129" i="1"/>
  <c r="F129" i="1"/>
  <c r="N129" i="1" s="1"/>
  <c r="AC128" i="1"/>
  <c r="AD128" i="1" s="1"/>
  <c r="AB128" i="1"/>
  <c r="V128" i="1"/>
  <c r="V133" i="1" s="1"/>
  <c r="S128" i="1"/>
  <c r="S133" i="1" s="1"/>
  <c r="N128" i="1"/>
  <c r="M128" i="1"/>
  <c r="F128" i="1"/>
  <c r="AA127" i="1"/>
  <c r="AC127" i="1" s="1"/>
  <c r="Z127" i="1"/>
  <c r="Y127" i="1"/>
  <c r="X127" i="1"/>
  <c r="V127" i="1"/>
  <c r="U127" i="1"/>
  <c r="T127" i="1"/>
  <c r="R127" i="1"/>
  <c r="Q127" i="1"/>
  <c r="P127" i="1"/>
  <c r="O127" i="1"/>
  <c r="M127" i="1"/>
  <c r="L127" i="1"/>
  <c r="K127" i="1"/>
  <c r="J127" i="1"/>
  <c r="I127" i="1"/>
  <c r="H127" i="1"/>
  <c r="G127" i="1"/>
  <c r="AC126" i="1"/>
  <c r="AD126" i="1" s="1"/>
  <c r="AB126" i="1"/>
  <c r="V126" i="1"/>
  <c r="S126" i="1"/>
  <c r="M126" i="1"/>
  <c r="N126" i="1" s="1"/>
  <c r="F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S127" i="1" s="1"/>
  <c r="M124" i="1"/>
  <c r="N124" i="1" s="1"/>
  <c r="F124" i="1"/>
  <c r="AA123" i="1"/>
  <c r="Z123" i="1"/>
  <c r="Y123" i="1"/>
  <c r="X123" i="1"/>
  <c r="U123" i="1"/>
  <c r="T123" i="1"/>
  <c r="S123" i="1"/>
  <c r="R123" i="1"/>
  <c r="Q123" i="1"/>
  <c r="P123" i="1"/>
  <c r="O123" i="1"/>
  <c r="L123" i="1"/>
  <c r="J123" i="1"/>
  <c r="I123" i="1"/>
  <c r="H123" i="1"/>
  <c r="G123" i="1"/>
  <c r="AD122" i="1"/>
  <c r="AC122" i="1"/>
  <c r="AB122" i="1"/>
  <c r="V122" i="1"/>
  <c r="S122" i="1"/>
  <c r="M122" i="1"/>
  <c r="N122" i="1" s="1"/>
  <c r="F122" i="1"/>
  <c r="AD121" i="1"/>
  <c r="AC121" i="1"/>
  <c r="AB121" i="1"/>
  <c r="V121" i="1"/>
  <c r="S121" i="1"/>
  <c r="M121" i="1"/>
  <c r="N121" i="1" s="1"/>
  <c r="F121" i="1"/>
  <c r="AD120" i="1"/>
  <c r="AC120" i="1"/>
  <c r="AB120" i="1"/>
  <c r="V120" i="1"/>
  <c r="S120" i="1"/>
  <c r="M120" i="1"/>
  <c r="N120" i="1" s="1"/>
  <c r="F120" i="1"/>
  <c r="AD119" i="1"/>
  <c r="AC119" i="1"/>
  <c r="AB119" i="1"/>
  <c r="V119" i="1"/>
  <c r="V123" i="1" s="1"/>
  <c r="S119" i="1"/>
  <c r="M119" i="1"/>
  <c r="F119" i="1"/>
  <c r="AC118" i="1"/>
  <c r="Z118" i="1"/>
  <c r="Y118" i="1"/>
  <c r="X118" i="1"/>
  <c r="U118" i="1"/>
  <c r="T118" i="1"/>
  <c r="Q118" i="1"/>
  <c r="P118" i="1"/>
  <c r="O118" i="1"/>
  <c r="L118" i="1"/>
  <c r="K118" i="1"/>
  <c r="J118" i="1"/>
  <c r="I118" i="1"/>
  <c r="H118" i="1"/>
  <c r="G118" i="1"/>
  <c r="AC117" i="1"/>
  <c r="AD117" i="1" s="1"/>
  <c r="AB117" i="1"/>
  <c r="V117" i="1"/>
  <c r="S117" i="1"/>
  <c r="M117" i="1"/>
  <c r="F117" i="1"/>
  <c r="N117" i="1" s="1"/>
  <c r="AC116" i="1"/>
  <c r="AD116" i="1" s="1"/>
  <c r="AB116" i="1"/>
  <c r="V116" i="1"/>
  <c r="S116" i="1"/>
  <c r="M116" i="1"/>
  <c r="F116" i="1"/>
  <c r="N116" i="1" s="1"/>
  <c r="AC115" i="1"/>
  <c r="AD115" i="1" s="1"/>
  <c r="AB115" i="1"/>
  <c r="V115" i="1"/>
  <c r="S115" i="1"/>
  <c r="M115" i="1"/>
  <c r="F115" i="1"/>
  <c r="N115" i="1" s="1"/>
  <c r="AC114" i="1"/>
  <c r="AD114" i="1" s="1"/>
  <c r="AB114" i="1"/>
  <c r="V114" i="1"/>
  <c r="S114" i="1"/>
  <c r="N114" i="1"/>
  <c r="M114" i="1"/>
  <c r="M118" i="1" s="1"/>
  <c r="F114" i="1"/>
  <c r="AC113" i="1"/>
  <c r="AD113" i="1" s="1"/>
  <c r="V113" i="1"/>
  <c r="V118" i="1" s="1"/>
  <c r="AA112" i="1"/>
  <c r="Z112" i="1"/>
  <c r="Y112" i="1"/>
  <c r="AC112" i="1" s="1"/>
  <c r="X112" i="1"/>
  <c r="U112" i="1"/>
  <c r="R112" i="1"/>
  <c r="Q112" i="1"/>
  <c r="P112" i="1"/>
  <c r="O112" i="1"/>
  <c r="M112" i="1"/>
  <c r="L112" i="1"/>
  <c r="K112" i="1"/>
  <c r="J112" i="1"/>
  <c r="I112" i="1"/>
  <c r="H112" i="1"/>
  <c r="G112" i="1"/>
  <c r="AC111" i="1"/>
  <c r="AD111" i="1" s="1"/>
  <c r="AB111" i="1"/>
  <c r="V111" i="1"/>
  <c r="S111" i="1"/>
  <c r="M111" i="1"/>
  <c r="F111" i="1"/>
  <c r="AC110" i="1"/>
  <c r="AD110" i="1" s="1"/>
  <c r="AB110" i="1"/>
  <c r="V110" i="1"/>
  <c r="S110" i="1"/>
  <c r="M110" i="1"/>
  <c r="F110" i="1"/>
  <c r="AC109" i="1"/>
  <c r="AD109" i="1" s="1"/>
  <c r="AB109" i="1"/>
  <c r="V109" i="1"/>
  <c r="S109" i="1"/>
  <c r="M109" i="1"/>
  <c r="N109" i="1" s="1"/>
  <c r="F109" i="1"/>
  <c r="AC108" i="1"/>
  <c r="AD108" i="1" s="1"/>
  <c r="AB108" i="1"/>
  <c r="V108" i="1"/>
  <c r="S108" i="1"/>
  <c r="S112" i="1" s="1"/>
  <c r="M108" i="1"/>
  <c r="F108" i="1"/>
  <c r="AC107" i="1"/>
  <c r="AD107" i="1" s="1"/>
  <c r="AB107" i="1"/>
  <c r="V107" i="1"/>
  <c r="V112" i="1" s="1"/>
  <c r="M107" i="1"/>
  <c r="F107" i="1"/>
  <c r="N107" i="1" s="1"/>
  <c r="AC106" i="1"/>
  <c r="AA106" i="1"/>
  <c r="Z106" i="1"/>
  <c r="Y106" i="1"/>
  <c r="X106" i="1"/>
  <c r="U106" i="1"/>
  <c r="T106" i="1"/>
  <c r="Q106" i="1"/>
  <c r="P106" i="1"/>
  <c r="O106" i="1"/>
  <c r="L106" i="1"/>
  <c r="K106" i="1"/>
  <c r="J106" i="1"/>
  <c r="I106" i="1"/>
  <c r="H106" i="1"/>
  <c r="G106" i="1"/>
  <c r="AC105" i="1"/>
  <c r="AD105" i="1" s="1"/>
  <c r="AB105" i="1"/>
  <c r="V105" i="1"/>
  <c r="S105" i="1"/>
  <c r="R105" i="1"/>
  <c r="N105" i="1"/>
  <c r="M105" i="1"/>
  <c r="F105" i="1"/>
  <c r="AD104" i="1"/>
  <c r="AC104" i="1"/>
  <c r="AB104" i="1"/>
  <c r="V104" i="1"/>
  <c r="R104" i="1"/>
  <c r="S104" i="1" s="1"/>
  <c r="M104" i="1"/>
  <c r="N104" i="1" s="1"/>
  <c r="F104" i="1"/>
  <c r="AC103" i="1"/>
  <c r="AD103" i="1" s="1"/>
  <c r="AB103" i="1"/>
  <c r="V103" i="1"/>
  <c r="S103" i="1"/>
  <c r="R103" i="1"/>
  <c r="M103" i="1"/>
  <c r="N103" i="1" s="1"/>
  <c r="F103" i="1"/>
  <c r="AC102" i="1"/>
  <c r="AD102" i="1" s="1"/>
  <c r="AB102" i="1"/>
  <c r="V102" i="1"/>
  <c r="V106" i="1" s="1"/>
  <c r="R102" i="1"/>
  <c r="S102" i="1" s="1"/>
  <c r="M102" i="1"/>
  <c r="F102" i="1"/>
  <c r="N102" i="1" s="1"/>
  <c r="AD101" i="1"/>
  <c r="AC101" i="1"/>
  <c r="AB101" i="1"/>
  <c r="V101" i="1"/>
  <c r="R101" i="1"/>
  <c r="R106" i="1" s="1"/>
  <c r="M101" i="1"/>
  <c r="M106" i="1" s="1"/>
  <c r="F101" i="1"/>
  <c r="AA99" i="1"/>
  <c r="AC99" i="1" s="1"/>
  <c r="Z99" i="1"/>
  <c r="Y99" i="1"/>
  <c r="X99" i="1"/>
  <c r="U99" i="1"/>
  <c r="T99" i="1"/>
  <c r="R99" i="1"/>
  <c r="Q99" i="1"/>
  <c r="P99" i="1"/>
  <c r="O99" i="1"/>
  <c r="K99" i="1"/>
  <c r="J99" i="1"/>
  <c r="I99" i="1"/>
  <c r="H99" i="1"/>
  <c r="G99" i="1"/>
  <c r="AD98" i="1"/>
  <c r="AC98" i="1"/>
  <c r="AB98" i="1"/>
  <c r="V98" i="1"/>
  <c r="S98" i="1"/>
  <c r="L98" i="1"/>
  <c r="M98" i="1" s="1"/>
  <c r="N98" i="1" s="1"/>
  <c r="F98" i="1"/>
  <c r="AC97" i="1"/>
  <c r="AD97" i="1" s="1"/>
  <c r="AB97" i="1"/>
  <c r="M97" i="1"/>
  <c r="N97" i="1" s="1"/>
  <c r="L97" i="1"/>
  <c r="F97" i="1"/>
  <c r="AD96" i="1"/>
  <c r="AC96" i="1"/>
  <c r="AB96" i="1"/>
  <c r="V96" i="1"/>
  <c r="S96" i="1"/>
  <c r="L96" i="1"/>
  <c r="M96" i="1" s="1"/>
  <c r="N96" i="1" s="1"/>
  <c r="F96" i="1"/>
  <c r="AC95" i="1"/>
  <c r="AD95" i="1" s="1"/>
  <c r="AB95" i="1"/>
  <c r="V95" i="1"/>
  <c r="S95" i="1"/>
  <c r="L95" i="1"/>
  <c r="M95" i="1" s="1"/>
  <c r="N95" i="1" s="1"/>
  <c r="F95" i="1"/>
  <c r="AC94" i="1"/>
  <c r="AD94" i="1" s="1"/>
  <c r="AB94" i="1"/>
  <c r="V94" i="1"/>
  <c r="S94" i="1"/>
  <c r="M94" i="1"/>
  <c r="N94" i="1" s="1"/>
  <c r="L94" i="1"/>
  <c r="F94" i="1"/>
  <c r="AD93" i="1"/>
  <c r="AC93" i="1"/>
  <c r="AB93" i="1"/>
  <c r="V93" i="1"/>
  <c r="S93" i="1"/>
  <c r="L93" i="1"/>
  <c r="L99" i="1" s="1"/>
  <c r="F93" i="1"/>
  <c r="AC92" i="1"/>
  <c r="AD92" i="1" s="1"/>
  <c r="AB92" i="1"/>
  <c r="V92" i="1"/>
  <c r="S92" i="1"/>
  <c r="M92" i="1"/>
  <c r="F92" i="1"/>
  <c r="AA91" i="1"/>
  <c r="AC91" i="1" s="1"/>
  <c r="Z91" i="1"/>
  <c r="Y91" i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N90" i="1"/>
  <c r="M90" i="1"/>
  <c r="F90" i="1"/>
  <c r="AD89" i="1"/>
  <c r="AC89" i="1"/>
  <c r="AB89" i="1"/>
  <c r="V89" i="1"/>
  <c r="S89" i="1"/>
  <c r="N89" i="1"/>
  <c r="M89" i="1"/>
  <c r="F89" i="1"/>
  <c r="AD88" i="1"/>
  <c r="AC88" i="1"/>
  <c r="AB88" i="1"/>
  <c r="V88" i="1"/>
  <c r="S88" i="1"/>
  <c r="N88" i="1"/>
  <c r="M88" i="1"/>
  <c r="F88" i="1"/>
  <c r="AD87" i="1"/>
  <c r="AC87" i="1"/>
  <c r="AB87" i="1"/>
  <c r="V87" i="1"/>
  <c r="S87" i="1"/>
  <c r="N87" i="1"/>
  <c r="M87" i="1"/>
  <c r="F87" i="1"/>
  <c r="AD86" i="1"/>
  <c r="AC86" i="1"/>
  <c r="AB86" i="1"/>
  <c r="V86" i="1"/>
  <c r="V91" i="1" s="1"/>
  <c r="S86" i="1"/>
  <c r="S91" i="1" s="1"/>
  <c r="N86" i="1"/>
  <c r="M86" i="1"/>
  <c r="M91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AC84" i="1"/>
  <c r="AD84" i="1" s="1"/>
  <c r="AA84" i="1"/>
  <c r="AB84" i="1" s="1"/>
  <c r="V84" i="1"/>
  <c r="R84" i="1"/>
  <c r="S84" i="1" s="1"/>
  <c r="L84" i="1"/>
  <c r="M84" i="1" s="1"/>
  <c r="N84" i="1" s="1"/>
  <c r="F84" i="1"/>
  <c r="AC83" i="1"/>
  <c r="AB83" i="1"/>
  <c r="AA83" i="1"/>
  <c r="V83" i="1"/>
  <c r="S83" i="1"/>
  <c r="R83" i="1"/>
  <c r="N83" i="1"/>
  <c r="L83" i="1"/>
  <c r="M83" i="1" s="1"/>
  <c r="F83" i="1"/>
  <c r="AC82" i="1"/>
  <c r="AD82" i="1" s="1"/>
  <c r="AB82" i="1"/>
  <c r="AA82" i="1"/>
  <c r="S82" i="1"/>
  <c r="R82" i="1"/>
  <c r="M82" i="1"/>
  <c r="N82" i="1" s="1"/>
  <c r="L82" i="1"/>
  <c r="F82" i="1"/>
  <c r="AD81" i="1"/>
  <c r="AC81" i="1"/>
  <c r="AB81" i="1"/>
  <c r="AA81" i="1"/>
  <c r="V81" i="1"/>
  <c r="S81" i="1"/>
  <c r="R81" i="1"/>
  <c r="M81" i="1"/>
  <c r="L81" i="1"/>
  <c r="F81" i="1"/>
  <c r="AC80" i="1"/>
  <c r="AD80" i="1" s="1"/>
  <c r="AB80" i="1"/>
  <c r="AA80" i="1"/>
  <c r="R80" i="1"/>
  <c r="S80" i="1" s="1"/>
  <c r="M80" i="1"/>
  <c r="N80" i="1" s="1"/>
  <c r="L80" i="1"/>
  <c r="F80" i="1"/>
  <c r="AA79" i="1"/>
  <c r="V79" i="1"/>
  <c r="S79" i="1"/>
  <c r="R79" i="1"/>
  <c r="M79" i="1"/>
  <c r="N79" i="1" s="1"/>
  <c r="L79" i="1"/>
  <c r="F79" i="1"/>
  <c r="AD78" i="1"/>
  <c r="AC78" i="1"/>
  <c r="AB78" i="1"/>
  <c r="AA78" i="1"/>
  <c r="R78" i="1"/>
  <c r="S78" i="1" s="1"/>
  <c r="L78" i="1"/>
  <c r="M78" i="1" s="1"/>
  <c r="N78" i="1" s="1"/>
  <c r="F78" i="1"/>
  <c r="AA77" i="1"/>
  <c r="AC77" i="1" s="1"/>
  <c r="AD77" i="1" s="1"/>
  <c r="V77" i="1"/>
  <c r="S77" i="1"/>
  <c r="R77" i="1"/>
  <c r="M77" i="1"/>
  <c r="N77" i="1" s="1"/>
  <c r="L77" i="1"/>
  <c r="F77" i="1"/>
  <c r="AA76" i="1"/>
  <c r="AC76" i="1" s="1"/>
  <c r="AD76" i="1" s="1"/>
  <c r="V76" i="1"/>
  <c r="S76" i="1"/>
  <c r="R76" i="1"/>
  <c r="M76" i="1"/>
  <c r="L76" i="1"/>
  <c r="F76" i="1"/>
  <c r="AD75" i="1"/>
  <c r="AC75" i="1"/>
  <c r="AB75" i="1"/>
  <c r="AA75" i="1"/>
  <c r="V75" i="1"/>
  <c r="S75" i="1"/>
  <c r="R75" i="1"/>
  <c r="M75" i="1"/>
  <c r="N75" i="1" s="1"/>
  <c r="L75" i="1"/>
  <c r="F75" i="1"/>
  <c r="AC74" i="1"/>
  <c r="AD74" i="1" s="1"/>
  <c r="AB74" i="1"/>
  <c r="AA74" i="1"/>
  <c r="V74" i="1"/>
  <c r="V85" i="1" s="1"/>
  <c r="S74" i="1"/>
  <c r="R74" i="1"/>
  <c r="L74" i="1"/>
  <c r="L85" i="1" s="1"/>
  <c r="F74" i="1"/>
  <c r="AA73" i="1"/>
  <c r="Z73" i="1"/>
  <c r="Y73" i="1"/>
  <c r="AC73" i="1" s="1"/>
  <c r="X73" i="1"/>
  <c r="U73" i="1"/>
  <c r="T73" i="1"/>
  <c r="R73" i="1"/>
  <c r="Q73" i="1"/>
  <c r="P73" i="1"/>
  <c r="O73" i="1"/>
  <c r="L73" i="1"/>
  <c r="J73" i="1"/>
  <c r="I73" i="1"/>
  <c r="H73" i="1"/>
  <c r="G73" i="1"/>
  <c r="AC72" i="1"/>
  <c r="AD72" i="1" s="1"/>
  <c r="AB72" i="1"/>
  <c r="V72" i="1"/>
  <c r="S72" i="1"/>
  <c r="M72" i="1"/>
  <c r="F72" i="1"/>
  <c r="AC71" i="1"/>
  <c r="AD71" i="1" s="1"/>
  <c r="AB71" i="1"/>
  <c r="V71" i="1"/>
  <c r="S71" i="1"/>
  <c r="M71" i="1"/>
  <c r="F71" i="1"/>
  <c r="AC70" i="1"/>
  <c r="AD70" i="1" s="1"/>
  <c r="AB70" i="1"/>
  <c r="V70" i="1"/>
  <c r="S70" i="1"/>
  <c r="M70" i="1"/>
  <c r="N70" i="1" s="1"/>
  <c r="F70" i="1"/>
  <c r="AC69" i="1"/>
  <c r="AD69" i="1" s="1"/>
  <c r="AB69" i="1"/>
  <c r="V69" i="1"/>
  <c r="S69" i="1"/>
  <c r="M69" i="1"/>
  <c r="F69" i="1"/>
  <c r="AC68" i="1"/>
  <c r="AD68" i="1" s="1"/>
  <c r="AB68" i="1"/>
  <c r="V68" i="1"/>
  <c r="V73" i="1" s="1"/>
  <c r="S68" i="1"/>
  <c r="S73" i="1" s="1"/>
  <c r="M68" i="1"/>
  <c r="F68" i="1"/>
  <c r="AA67" i="1"/>
  <c r="Z67" i="1"/>
  <c r="Y67" i="1"/>
  <c r="AC67" i="1" s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N66" i="1" s="1"/>
  <c r="F66" i="1"/>
  <c r="AC65" i="1"/>
  <c r="AD65" i="1" s="1"/>
  <c r="AB65" i="1"/>
  <c r="V65" i="1"/>
  <c r="S65" i="1"/>
  <c r="M65" i="1"/>
  <c r="N65" i="1" s="1"/>
  <c r="F65" i="1"/>
  <c r="AC64" i="1"/>
  <c r="AD64" i="1" s="1"/>
  <c r="AB64" i="1"/>
  <c r="V64" i="1"/>
  <c r="S64" i="1"/>
  <c r="M64" i="1"/>
  <c r="N64" i="1" s="1"/>
  <c r="F64" i="1"/>
  <c r="AC63" i="1"/>
  <c r="AD63" i="1" s="1"/>
  <c r="AB63" i="1"/>
  <c r="S63" i="1"/>
  <c r="N63" i="1"/>
  <c r="F63" i="1"/>
  <c r="AD62" i="1"/>
  <c r="AC62" i="1"/>
  <c r="AB62" i="1"/>
  <c r="V62" i="1"/>
  <c r="S62" i="1"/>
  <c r="S67" i="1" s="1"/>
  <c r="N62" i="1"/>
  <c r="M62" i="1"/>
  <c r="F62" i="1"/>
  <c r="AD61" i="1"/>
  <c r="AC61" i="1"/>
  <c r="AB61" i="1"/>
  <c r="V61" i="1"/>
  <c r="V67" i="1" s="1"/>
  <c r="M61" i="1"/>
  <c r="F61" i="1"/>
  <c r="AA60" i="1"/>
  <c r="Z60" i="1"/>
  <c r="Y60" i="1"/>
  <c r="AC60" i="1" s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AD59" i="1"/>
  <c r="AC59" i="1"/>
  <c r="AB59" i="1"/>
  <c r="V59" i="1"/>
  <c r="S59" i="1"/>
  <c r="N59" i="1"/>
  <c r="M59" i="1"/>
  <c r="F59" i="1"/>
  <c r="AD58" i="1"/>
  <c r="AC58" i="1"/>
  <c r="AB58" i="1"/>
  <c r="V58" i="1"/>
  <c r="S58" i="1"/>
  <c r="N58" i="1"/>
  <c r="M58" i="1"/>
  <c r="F58" i="1"/>
  <c r="AD57" i="1"/>
  <c r="AC57" i="1"/>
  <c r="AB57" i="1"/>
  <c r="V57" i="1"/>
  <c r="S57" i="1"/>
  <c r="N57" i="1"/>
  <c r="M57" i="1"/>
  <c r="F57" i="1"/>
  <c r="AD56" i="1"/>
  <c r="AC56" i="1"/>
  <c r="AB56" i="1"/>
  <c r="V56" i="1"/>
  <c r="S56" i="1"/>
  <c r="N56" i="1"/>
  <c r="M56" i="1"/>
  <c r="F56" i="1"/>
  <c r="AD55" i="1"/>
  <c r="AC55" i="1"/>
  <c r="AB55" i="1"/>
  <c r="V55" i="1"/>
  <c r="S55" i="1"/>
  <c r="N55" i="1"/>
  <c r="M55" i="1"/>
  <c r="F55" i="1"/>
  <c r="AD54" i="1"/>
  <c r="AC54" i="1"/>
  <c r="AB54" i="1"/>
  <c r="V54" i="1"/>
  <c r="V60" i="1" s="1"/>
  <c r="S54" i="1"/>
  <c r="S60" i="1" s="1"/>
  <c r="N54" i="1"/>
  <c r="M54" i="1"/>
  <c r="M60" i="1" s="1"/>
  <c r="F54" i="1"/>
  <c r="AC53" i="1"/>
  <c r="Y53" i="1"/>
  <c r="X53" i="1"/>
  <c r="V53" i="1"/>
  <c r="U53" i="1"/>
  <c r="T53" i="1"/>
  <c r="R53" i="1"/>
  <c r="Q53" i="1"/>
  <c r="P53" i="1"/>
  <c r="O53" i="1"/>
  <c r="M53" i="1"/>
  <c r="L53" i="1"/>
  <c r="J53" i="1"/>
  <c r="I53" i="1"/>
  <c r="H53" i="1"/>
  <c r="G53" i="1"/>
  <c r="AC52" i="1"/>
  <c r="AD52" i="1" s="1"/>
  <c r="AB52" i="1"/>
  <c r="V52" i="1"/>
  <c r="S52" i="1"/>
  <c r="M52" i="1"/>
  <c r="F52" i="1"/>
  <c r="N52" i="1" s="1"/>
  <c r="AC51" i="1"/>
  <c r="AD51" i="1" s="1"/>
  <c r="AB51" i="1"/>
  <c r="V51" i="1"/>
  <c r="S51" i="1"/>
  <c r="M51" i="1"/>
  <c r="N51" i="1" s="1"/>
  <c r="F51" i="1"/>
  <c r="AC50" i="1"/>
  <c r="AD50" i="1" s="1"/>
  <c r="AB50" i="1"/>
  <c r="V50" i="1"/>
  <c r="S50" i="1"/>
  <c r="M50" i="1"/>
  <c r="N50" i="1" s="1"/>
  <c r="F50" i="1"/>
  <c r="AC49" i="1"/>
  <c r="AD49" i="1" s="1"/>
  <c r="AB49" i="1"/>
  <c r="V49" i="1"/>
  <c r="N49" i="1"/>
  <c r="M49" i="1"/>
  <c r="F49" i="1"/>
  <c r="AA48" i="1"/>
  <c r="AC48" i="1" s="1"/>
  <c r="Z48" i="1"/>
  <c r="Y48" i="1"/>
  <c r="X48" i="1"/>
  <c r="U48" i="1"/>
  <c r="T48" i="1"/>
  <c r="R48" i="1"/>
  <c r="Q48" i="1"/>
  <c r="P48" i="1"/>
  <c r="O48" i="1"/>
  <c r="L48" i="1"/>
  <c r="J48" i="1"/>
  <c r="I48" i="1"/>
  <c r="H48" i="1"/>
  <c r="G48" i="1"/>
  <c r="AC47" i="1"/>
  <c r="AD47" i="1" s="1"/>
  <c r="AB47" i="1"/>
  <c r="V47" i="1"/>
  <c r="S47" i="1"/>
  <c r="M47" i="1"/>
  <c r="F47" i="1"/>
  <c r="AC46" i="1"/>
  <c r="AD46" i="1" s="1"/>
  <c r="AB46" i="1"/>
  <c r="V46" i="1"/>
  <c r="S46" i="1"/>
  <c r="M46" i="1"/>
  <c r="N46" i="1" s="1"/>
  <c r="F46" i="1"/>
  <c r="AC45" i="1"/>
  <c r="AD45" i="1" s="1"/>
  <c r="AB45" i="1"/>
  <c r="V45" i="1"/>
  <c r="S45" i="1"/>
  <c r="M45" i="1"/>
  <c r="N45" i="1" s="1"/>
  <c r="F45" i="1"/>
  <c r="AC44" i="1"/>
  <c r="AD44" i="1" s="1"/>
  <c r="AB44" i="1"/>
  <c r="V44" i="1"/>
  <c r="S44" i="1"/>
  <c r="M44" i="1"/>
  <c r="F44" i="1"/>
  <c r="AC43" i="1"/>
  <c r="AD43" i="1" s="1"/>
  <c r="AB43" i="1"/>
  <c r="V43" i="1"/>
  <c r="S43" i="1"/>
  <c r="S48" i="1" s="1"/>
  <c r="M43" i="1"/>
  <c r="F43" i="1"/>
  <c r="AC42" i="1"/>
  <c r="AD42" i="1" s="1"/>
  <c r="AB42" i="1"/>
  <c r="AB48" i="1" s="1"/>
  <c r="V42" i="1"/>
  <c r="V48" i="1" s="1"/>
  <c r="M42" i="1"/>
  <c r="F42" i="1"/>
  <c r="N42" i="1" s="1"/>
  <c r="U41" i="1"/>
  <c r="T41" i="1"/>
  <c r="AD40" i="1"/>
  <c r="AC40" i="1"/>
  <c r="AB40" i="1"/>
  <c r="V40" i="1"/>
  <c r="L40" i="1"/>
  <c r="M40" i="1" s="1"/>
  <c r="N40" i="1" s="1"/>
  <c r="F40" i="1"/>
  <c r="AD39" i="1"/>
  <c r="AC39" i="1"/>
  <c r="AB39" i="1"/>
  <c r="V39" i="1"/>
  <c r="M39" i="1"/>
  <c r="N39" i="1" s="1"/>
  <c r="F39" i="1"/>
  <c r="AD38" i="1"/>
  <c r="AC38" i="1"/>
  <c r="AB38" i="1"/>
  <c r="V38" i="1"/>
  <c r="M38" i="1"/>
  <c r="F38" i="1"/>
  <c r="N38" i="1" s="1"/>
  <c r="AC37" i="1"/>
  <c r="AB37" i="1"/>
  <c r="V37" i="1"/>
  <c r="M37" i="1"/>
  <c r="F37" i="1"/>
  <c r="N37" i="1" s="1"/>
  <c r="AC36" i="1"/>
  <c r="AD36" i="1" s="1"/>
  <c r="AB36" i="1"/>
  <c r="V36" i="1"/>
  <c r="N36" i="1"/>
  <c r="M36" i="1"/>
  <c r="F36" i="1"/>
  <c r="AD35" i="1"/>
  <c r="AC35" i="1"/>
  <c r="AB35" i="1"/>
  <c r="V35" i="1"/>
  <c r="N35" i="1"/>
  <c r="M35" i="1"/>
  <c r="F35" i="1"/>
  <c r="AC34" i="1"/>
  <c r="AD34" i="1" s="1"/>
  <c r="AB34" i="1"/>
  <c r="V34" i="1"/>
  <c r="M34" i="1"/>
  <c r="N34" i="1" s="1"/>
  <c r="F34" i="1"/>
  <c r="AC33" i="1"/>
  <c r="AB33" i="1"/>
  <c r="V33" i="1"/>
  <c r="M33" i="1"/>
  <c r="N33" i="1" s="1"/>
  <c r="F33" i="1"/>
  <c r="AC32" i="1"/>
  <c r="AD32" i="1" s="1"/>
  <c r="AB32" i="1"/>
  <c r="V32" i="1"/>
  <c r="R32" i="1"/>
  <c r="M32" i="1"/>
  <c r="N32" i="1" s="1"/>
  <c r="F32" i="1"/>
  <c r="AC31" i="1"/>
  <c r="AD31" i="1" s="1"/>
  <c r="AB31" i="1"/>
  <c r="V31" i="1"/>
  <c r="M31" i="1"/>
  <c r="F31" i="1"/>
  <c r="N31" i="1" s="1"/>
  <c r="AD30" i="1"/>
  <c r="AC30" i="1"/>
  <c r="AB30" i="1"/>
  <c r="V30" i="1"/>
  <c r="M30" i="1"/>
  <c r="N30" i="1" s="1"/>
  <c r="F30" i="1"/>
  <c r="AC29" i="1"/>
  <c r="AB29" i="1"/>
  <c r="V29" i="1"/>
  <c r="N29" i="1"/>
  <c r="M29" i="1"/>
  <c r="F29" i="1"/>
  <c r="AD28" i="1"/>
  <c r="AC28" i="1"/>
  <c r="AB28" i="1"/>
  <c r="V28" i="1"/>
  <c r="N28" i="1"/>
  <c r="M28" i="1"/>
  <c r="F28" i="1"/>
  <c r="AC27" i="1"/>
  <c r="AD27" i="1" s="1"/>
  <c r="AB27" i="1"/>
  <c r="V27" i="1"/>
  <c r="L27" i="1"/>
  <c r="M27" i="1" s="1"/>
  <c r="N27" i="1" s="1"/>
  <c r="F27" i="1"/>
  <c r="AC26" i="1"/>
  <c r="AD26" i="1" s="1"/>
  <c r="AB26" i="1"/>
  <c r="V26" i="1"/>
  <c r="N26" i="1"/>
  <c r="M26" i="1"/>
  <c r="F26" i="1"/>
  <c r="AC25" i="1"/>
  <c r="AD25" i="1" s="1"/>
  <c r="AB25" i="1"/>
  <c r="AA25" i="1"/>
  <c r="V25" i="1"/>
  <c r="R25" i="1"/>
  <c r="N25" i="1"/>
  <c r="M25" i="1"/>
  <c r="L25" i="1"/>
  <c r="F25" i="1"/>
  <c r="AD24" i="1"/>
  <c r="AC24" i="1"/>
  <c r="AB24" i="1"/>
  <c r="V24" i="1"/>
  <c r="N24" i="1"/>
  <c r="M24" i="1"/>
  <c r="F24" i="1"/>
  <c r="AC23" i="1"/>
  <c r="AD23" i="1" s="1"/>
  <c r="AB23" i="1"/>
  <c r="V23" i="1"/>
  <c r="M23" i="1"/>
  <c r="N23" i="1" s="1"/>
  <c r="F23" i="1"/>
  <c r="AC22" i="1"/>
  <c r="AD22" i="1" s="1"/>
  <c r="AB22" i="1"/>
  <c r="V22" i="1"/>
  <c r="M22" i="1"/>
  <c r="N22" i="1" s="1"/>
  <c r="F22" i="1"/>
  <c r="AD21" i="1"/>
  <c r="AC21" i="1"/>
  <c r="AB21" i="1"/>
  <c r="V21" i="1"/>
  <c r="M21" i="1"/>
  <c r="N21" i="1" s="1"/>
  <c r="F21" i="1"/>
  <c r="AC20" i="1"/>
  <c r="AD20" i="1" s="1"/>
  <c r="AB20" i="1"/>
  <c r="V20" i="1"/>
  <c r="M20" i="1"/>
  <c r="F20" i="1"/>
  <c r="N20" i="1" s="1"/>
  <c r="AD16" i="1"/>
  <c r="AC16" i="1"/>
  <c r="AB16" i="1"/>
  <c r="V16" i="1"/>
  <c r="M16" i="1"/>
  <c r="N16" i="1" s="1"/>
  <c r="F16" i="1"/>
  <c r="AD15" i="1"/>
  <c r="AC15" i="1"/>
  <c r="AB15" i="1"/>
  <c r="V15" i="1"/>
  <c r="M15" i="1"/>
  <c r="N15" i="1" s="1"/>
  <c r="F15" i="1"/>
  <c r="AC14" i="1"/>
  <c r="AD14" i="1" s="1"/>
  <c r="AB14" i="1"/>
  <c r="V14" i="1"/>
  <c r="N14" i="1"/>
  <c r="M14" i="1"/>
  <c r="F14" i="1"/>
  <c r="AD13" i="1"/>
  <c r="AC13" i="1"/>
  <c r="AB13" i="1"/>
  <c r="V13" i="1"/>
  <c r="N13" i="1"/>
  <c r="M13" i="1"/>
  <c r="F13" i="1"/>
  <c r="AC12" i="1"/>
  <c r="AD12" i="1" s="1"/>
  <c r="AB12" i="1"/>
  <c r="V12" i="1"/>
  <c r="M12" i="1"/>
  <c r="N12" i="1" s="1"/>
  <c r="F12" i="1"/>
  <c r="AC11" i="1"/>
  <c r="AD11" i="1" s="1"/>
  <c r="AB11" i="1"/>
  <c r="V11" i="1"/>
  <c r="M11" i="1"/>
  <c r="N11" i="1" s="1"/>
  <c r="F11" i="1"/>
  <c r="N156" i="1" l="1"/>
  <c r="N108" i="1"/>
  <c r="AB179" i="1"/>
  <c r="N43" i="1"/>
  <c r="N47" i="1"/>
  <c r="R85" i="1"/>
  <c r="AB76" i="1"/>
  <c r="N81" i="1"/>
  <c r="N155" i="1"/>
  <c r="M67" i="1"/>
  <c r="N61" i="1"/>
  <c r="N69" i="1"/>
  <c r="M73" i="1"/>
  <c r="N68" i="1"/>
  <c r="N72" i="1"/>
  <c r="S85" i="1"/>
  <c r="S99" i="1"/>
  <c r="N111" i="1"/>
  <c r="N44" i="1"/>
  <c r="AC79" i="1"/>
  <c r="AD79" i="1" s="1"/>
  <c r="AB79" i="1"/>
  <c r="N176" i="1"/>
  <c r="M179" i="1"/>
  <c r="M48" i="1"/>
  <c r="N71" i="1"/>
  <c r="AA85" i="1"/>
  <c r="AC85" i="1" s="1"/>
  <c r="N76" i="1"/>
  <c r="N110" i="1"/>
  <c r="N140" i="1"/>
  <c r="M144" i="1"/>
  <c r="S179" i="1"/>
  <c r="N152" i="1"/>
  <c r="V99" i="1"/>
  <c r="S53" i="1"/>
  <c r="M123" i="1"/>
  <c r="N119" i="1"/>
  <c r="AC123" i="1"/>
  <c r="M133" i="1"/>
  <c r="M174" i="1"/>
  <c r="N92" i="1"/>
  <c r="M93" i="1"/>
  <c r="N93" i="1" s="1"/>
  <c r="N101" i="1"/>
  <c r="N145" i="1"/>
  <c r="K151" i="1" s="1"/>
  <c r="M151" i="1"/>
  <c r="N168" i="1"/>
  <c r="L179" i="1"/>
  <c r="AB77" i="1"/>
  <c r="S101" i="1"/>
  <c r="S106" i="1" s="1"/>
  <c r="M74" i="1"/>
  <c r="M85" i="1" l="1"/>
  <c r="N74" i="1"/>
  <c r="J151" i="1"/>
  <c r="M99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<sst xmlns="http://schemas.openxmlformats.org/spreadsheetml/2006/main" count="223" uniqueCount="178">
  <si>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2023 года</t>
  </si>
  <si>
    <t>Муниципальный район</t>
  </si>
  <si>
    <t>Муниципальные образования</t>
  </si>
  <si>
    <t>Численность населения по состоянию на 01.01.2022 г</t>
  </si>
  <si>
    <t xml:space="preserve">Норматив на содержание ОМС на 2023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</si>
  <si>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2023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</si>
  <si>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30.09.2023</t>
  </si>
  <si>
    <t xml:space="preserve">В том числе </t>
  </si>
  <si>
    <t>Переданные полномочия</t>
  </si>
  <si>
    <t>Утвержденные расходы на содержание органов местного самоуправления в бюджетах муниципальных образований  по состоянию на 30.09.2023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</si>
  <si>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</si>
  <si>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</si>
  <si>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</si>
  <si>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</si>
  <si>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</si>
  <si>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</si>
  <si>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</si>
  <si>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2023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</si>
  <si>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</si>
  <si>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</si>
  <si>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</si>
  <si>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30.09.2023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</si>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</sst>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66" fontId="5" fillId="4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/>
    <xf numFmtId="164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5" fillId="4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/>
    <xf numFmtId="164" fontId="4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/>
    <xf numFmtId="0" fontId="4" fillId="0" borderId="2" xfId="0" applyFont="1" applyFill="1" applyBorder="1"/>
    <xf numFmtId="0" fontId="4" fillId="4" borderId="2" xfId="0" applyFont="1" applyFill="1" applyBorder="1"/>
    <xf numFmtId="166" fontId="3" fillId="4" borderId="2" xfId="0" applyNumberFormat="1" applyFont="1" applyFill="1" applyBorder="1"/>
    <xf numFmtId="1" fontId="4" fillId="0" borderId="2" xfId="0" applyNumberFormat="1" applyFont="1" applyFill="1" applyBorder="1"/>
    <xf numFmtId="0" fontId="4" fillId="0" borderId="3" xfId="0" applyFont="1" applyFill="1" applyBorder="1"/>
    <xf numFmtId="0" fontId="0" fillId="0" borderId="0" xfId="0" applyBorder="1"/>
    <xf numFmtId="0" fontId="4" fillId="0" borderId="4" xfId="0" applyFont="1" applyFill="1" applyBorder="1"/>
    <xf numFmtId="0" fontId="4" fillId="0" borderId="5" xfId="1" applyFont="1" applyFill="1" applyBorder="1"/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2" applyNumberFormat="1" applyFont="1" applyFill="1" applyBorder="1" applyAlignment="1" applyProtection="1">
      <alignment vertical="top"/>
    </xf>
    <xf numFmtId="0" fontId="4" fillId="0" borderId="5" xfId="2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4" borderId="5" xfId="2" applyNumberFormat="1" applyFont="1" applyFill="1" applyBorder="1"/>
    <xf numFmtId="168" fontId="3" fillId="4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167" fontId="4" fillId="0" borderId="5" xfId="0" applyNumberFormat="1" applyFont="1" applyFill="1" applyBorder="1"/>
    <xf numFmtId="167" fontId="4" fillId="0" borderId="6" xfId="0" applyNumberFormat="1" applyFont="1" applyFill="1" applyBorder="1"/>
    <xf numFmtId="167" fontId="4" fillId="5" borderId="5" xfId="2" applyNumberFormat="1" applyFont="1" applyFill="1" applyBorder="1" applyAlignment="1" applyProtection="1">
      <alignment vertical="top"/>
    </xf>
    <xf numFmtId="167" fontId="4" fillId="5" borderId="5" xfId="0" applyNumberFormat="1" applyFont="1" applyFill="1" applyBorder="1"/>
    <xf numFmtId="167" fontId="4" fillId="5" borderId="6" xfId="0" applyNumberFormat="1" applyFont="1" applyFill="1" applyBorder="1"/>
    <xf numFmtId="0" fontId="4" fillId="0" borderId="7" xfId="1" applyFont="1" applyFill="1" applyBorder="1"/>
    <xf numFmtId="0" fontId="8" fillId="0" borderId="8" xfId="0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4" borderId="8" xfId="2" applyNumberFormat="1" applyFont="1" applyFill="1" applyBorder="1"/>
    <xf numFmtId="168" fontId="3" fillId="4" borderId="8" xfId="2" applyNumberFormat="1" applyFont="1" applyFill="1" applyBorder="1"/>
    <xf numFmtId="1" fontId="4" fillId="0" borderId="8" xfId="2" applyNumberFormat="1" applyFont="1" applyFill="1" applyBorder="1"/>
    <xf numFmtId="0" fontId="4" fillId="0" borderId="8" xfId="0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" xfId="1" applyFont="1" applyFill="1" applyBorder="1"/>
    <xf numFmtId="164" fontId="4" fillId="0" borderId="2" xfId="2" applyNumberFormat="1" applyFont="1" applyFill="1" applyBorder="1"/>
    <xf numFmtId="165" fontId="4" fillId="0" borderId="2" xfId="2" applyNumberFormat="1" applyFont="1" applyFill="1" applyBorder="1"/>
    <xf numFmtId="0" fontId="4" fillId="0" borderId="2" xfId="2" applyFont="1" applyFill="1" applyBorder="1"/>
    <xf numFmtId="167" fontId="4" fillId="0" borderId="2" xfId="2" applyNumberFormat="1" applyFont="1" applyFill="1" applyBorder="1" applyAlignment="1" applyProtection="1">
      <alignment vertical="top"/>
    </xf>
    <xf numFmtId="167" fontId="4" fillId="0" borderId="2" xfId="3" applyNumberFormat="1" applyFont="1" applyFill="1" applyBorder="1"/>
    <xf numFmtId="168" fontId="4" fillId="4" borderId="2" xfId="2" applyNumberFormat="1" applyFont="1" applyFill="1" applyBorder="1"/>
    <xf numFmtId="168" fontId="3" fillId="4" borderId="2" xfId="2" applyNumberFormat="1" applyFont="1" applyFill="1" applyBorder="1"/>
    <xf numFmtId="1" fontId="4" fillId="0" borderId="2" xfId="2" applyNumberFormat="1" applyFont="1" applyFill="1" applyBorder="1"/>
    <xf numFmtId="167" fontId="4" fillId="0" borderId="2" xfId="0" applyNumberFormat="1" applyFont="1" applyFill="1" applyBorder="1"/>
    <xf numFmtId="167" fontId="4" fillId="0" borderId="3" xfId="0" applyNumberFormat="1" applyFont="1" applyFill="1" applyBorder="1"/>
    <xf numFmtId="0" fontId="4" fillId="0" borderId="4" xfId="1" applyFont="1" applyFill="1" applyBorder="1"/>
    <xf numFmtId="0" fontId="8" fillId="0" borderId="5" xfId="0" applyFont="1" applyFill="1" applyBorder="1"/>
    <xf numFmtId="0" fontId="4" fillId="0" borderId="5" xfId="3" applyFont="1" applyFill="1" applyBorder="1"/>
    <xf numFmtId="1" fontId="4" fillId="0" borderId="5" xfId="0" applyNumberFormat="1" applyFont="1" applyFill="1" applyBorder="1"/>
    <xf numFmtId="0" fontId="10" fillId="0" borderId="5" xfId="0" applyFont="1" applyFill="1" applyBorder="1"/>
    <xf numFmtId="0" fontId="4" fillId="0" borderId="5" xfId="0" applyFont="1" applyFill="1" applyBorder="1" applyAlignment="1">
      <alignment wrapText="1"/>
    </xf>
    <xf numFmtId="167" fontId="4" fillId="0" borderId="5" xfId="2" applyNumberFormat="1" applyFont="1" applyFill="1" applyBorder="1"/>
    <xf numFmtId="2" fontId="4" fillId="0" borderId="5" xfId="0" applyNumberFormat="1" applyFont="1" applyFill="1" applyBorder="1"/>
    <xf numFmtId="169" fontId="4" fillId="0" borderId="5" xfId="0" applyNumberFormat="1" applyFont="1" applyFill="1" applyBorder="1"/>
    <xf numFmtId="165" fontId="4" fillId="0" borderId="5" xfId="0" applyNumberFormat="1" applyFont="1" applyFill="1" applyBorder="1"/>
    <xf numFmtId="0" fontId="10" fillId="0" borderId="8" xfId="0" applyFont="1" applyFill="1" applyBorder="1"/>
    <xf numFmtId="167" fontId="4" fillId="5" borderId="8" xfId="2" applyNumberFormat="1" applyFont="1" applyFill="1" applyBorder="1" applyAlignment="1" applyProtection="1">
      <alignment vertical="top"/>
    </xf>
    <xf numFmtId="1" fontId="4" fillId="0" borderId="8" xfId="0" applyNumberFormat="1" applyFont="1" applyFill="1" applyBorder="1"/>
    <xf numFmtId="0" fontId="0" fillId="0" borderId="0" xfId="0" applyFill="1"/>
    <xf numFmtId="0" fontId="7" fillId="0" borderId="14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164" fontId="4" fillId="0" borderId="14" xfId="2" applyNumberFormat="1" applyFont="1" applyFill="1" applyBorder="1"/>
    <xf numFmtId="165" fontId="4" fillId="0" borderId="14" xfId="2" applyNumberFormat="1" applyFont="1" applyFill="1" applyBorder="1"/>
    <xf numFmtId="165" fontId="4" fillId="0" borderId="14" xfId="0" applyNumberFormat="1" applyFont="1" applyFill="1" applyBorder="1"/>
    <xf numFmtId="167" fontId="4" fillId="0" borderId="14" xfId="0" applyNumberFormat="1" applyFont="1" applyFill="1" applyBorder="1"/>
    <xf numFmtId="167" fontId="4" fillId="0" borderId="14" xfId="2" applyNumberFormat="1" applyFont="1" applyFill="1" applyBorder="1" applyAlignment="1" applyProtection="1">
      <alignment vertical="top"/>
    </xf>
    <xf numFmtId="167" fontId="4" fillId="0" borderId="14" xfId="3" applyNumberFormat="1" applyFont="1" applyFill="1" applyBorder="1"/>
    <xf numFmtId="168" fontId="4" fillId="0" borderId="14" xfId="0" applyNumberFormat="1" applyFont="1" applyFill="1" applyBorder="1"/>
    <xf numFmtId="168" fontId="3" fillId="0" borderId="14" xfId="2" applyNumberFormat="1" applyFont="1" applyFill="1" applyBorder="1"/>
    <xf numFmtId="1" fontId="4" fillId="0" borderId="14" xfId="2" applyNumberFormat="1" applyFont="1" applyFill="1" applyBorder="1"/>
    <xf numFmtId="0" fontId="4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65" fontId="4" fillId="0" borderId="2" xfId="4" applyNumberFormat="1" applyFont="1" applyFill="1" applyBorder="1"/>
    <xf numFmtId="0" fontId="4" fillId="0" borderId="2" xfId="4" applyFont="1" applyFill="1" applyBorder="1"/>
    <xf numFmtId="166" fontId="3" fillId="0" borderId="2" xfId="2" applyNumberFormat="1" applyFont="1" applyFill="1" applyBorder="1"/>
    <xf numFmtId="165" fontId="4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4" fillId="0" borderId="5" xfId="4" applyNumberFormat="1" applyFont="1" applyFill="1" applyBorder="1"/>
    <xf numFmtId="0" fontId="4" fillId="0" borderId="5" xfId="4" applyFont="1" applyFill="1" applyBorder="1"/>
    <xf numFmtId="166" fontId="3" fillId="0" borderId="5" xfId="2" applyNumberFormat="1" applyFont="1" applyFill="1" applyBorder="1"/>
    <xf numFmtId="165" fontId="4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/>
    <xf numFmtId="0" fontId="4" fillId="0" borderId="2" xfId="3" applyFont="1" applyFill="1" applyBorder="1"/>
    <xf numFmtId="0" fontId="4" fillId="0" borderId="8" xfId="0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4" fillId="0" borderId="2" xfId="0" applyFont="1" applyFill="1" applyBorder="1" applyAlignment="1">
      <alignment wrapText="1"/>
    </xf>
    <xf numFmtId="0" fontId="11" fillId="0" borderId="5" xfId="0" applyFont="1" applyFill="1" applyBorder="1" applyAlignment="1"/>
    <xf numFmtId="164" fontId="4" fillId="0" borderId="8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166" fontId="4" fillId="0" borderId="8" xfId="0" applyNumberFormat="1" applyFont="1" applyFill="1" applyBorder="1" applyAlignment="1">
      <alignment horizontal="right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0" fontId="11" fillId="0" borderId="5" xfId="3" applyFont="1" applyFill="1" applyBorder="1"/>
    <xf numFmtId="165" fontId="4" fillId="0" borderId="2" xfId="3" applyNumberFormat="1" applyFont="1" applyFill="1" applyBorder="1"/>
    <xf numFmtId="164" fontId="4" fillId="0" borderId="8" xfId="0" applyNumberFormat="1" applyFont="1" applyFill="1" applyBorder="1"/>
    <xf numFmtId="166" fontId="4" fillId="0" borderId="8" xfId="0" applyNumberFormat="1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164" fontId="4" fillId="0" borderId="11" xfId="2" applyNumberFormat="1" applyFont="1" applyFill="1" applyBorder="1"/>
    <xf numFmtId="165" fontId="4" fillId="0" borderId="11" xfId="2" applyNumberFormat="1" applyFont="1" applyFill="1" applyBorder="1"/>
    <xf numFmtId="165" fontId="4" fillId="0" borderId="11" xfId="4" applyNumberFormat="1" applyFont="1" applyFill="1" applyBorder="1"/>
    <xf numFmtId="0" fontId="4" fillId="0" borderId="11" xfId="4" applyFont="1" applyFill="1" applyBorder="1"/>
    <xf numFmtId="167" fontId="4" fillId="0" borderId="11" xfId="2" applyNumberFormat="1" applyFont="1" applyFill="1" applyBorder="1" applyAlignment="1" applyProtection="1">
      <alignment vertical="top"/>
    </xf>
    <xf numFmtId="167" fontId="4" fillId="0" borderId="11" xfId="3" applyNumberFormat="1" applyFont="1" applyFill="1" applyBorder="1"/>
    <xf numFmtId="166" fontId="3" fillId="0" borderId="11" xfId="2" applyNumberFormat="1" applyFont="1" applyFill="1" applyBorder="1"/>
    <xf numFmtId="1" fontId="4" fillId="0" borderId="11" xfId="2" applyNumberFormat="1" applyFont="1" applyFill="1" applyBorder="1"/>
    <xf numFmtId="167" fontId="4" fillId="0" borderId="11" xfId="0" applyNumberFormat="1" applyFont="1" applyFill="1" applyBorder="1"/>
    <xf numFmtId="165" fontId="4" fillId="0" borderId="11" xfId="0" applyNumberFormat="1" applyFont="1" applyFill="1" applyBorder="1"/>
    <xf numFmtId="167" fontId="4" fillId="0" borderId="15" xfId="0" applyNumberFormat="1" applyFont="1" applyFill="1" applyBorder="1"/>
    <xf numFmtId="2" fontId="4" fillId="0" borderId="8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3" applyFont="1" applyFill="1" applyBorder="1"/>
    <xf numFmtId="165" fontId="4" fillId="0" borderId="11" xfId="3" applyNumberFormat="1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2" fillId="0" borderId="5" xfId="3" applyFont="1" applyFill="1" applyBorder="1"/>
    <xf numFmtId="167" fontId="4" fillId="0" borderId="21" xfId="2" applyNumberFormat="1" applyFont="1" applyFill="1" applyBorder="1" applyAlignment="1" applyProtection="1">
      <alignment vertical="top"/>
    </xf>
    <xf numFmtId="0" fontId="4" fillId="0" borderId="5" xfId="2" applyNumberFormat="1" applyFont="1" applyFill="1" applyBorder="1" applyAlignment="1" applyProtection="1">
      <alignment vertical="top"/>
    </xf>
    <xf numFmtId="167" fontId="4" fillId="5" borderId="3" xfId="0" applyNumberFormat="1" applyFont="1" applyFill="1" applyBorder="1"/>
    <xf numFmtId="0" fontId="10" fillId="0" borderId="5" xfId="3" applyFont="1" applyFill="1" applyBorder="1"/>
    <xf numFmtId="0" fontId="4" fillId="0" borderId="18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9" fontId="4" fillId="0" borderId="5" xfId="3" applyNumberFormat="1" applyFont="1" applyFill="1" applyBorder="1"/>
    <xf numFmtId="169" fontId="11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7"/>
  <sheetViews>
    <sheetView tabSelected="1" topLeftCell="B1" zoomScale="96" zoomScaleNormal="96" workbookViewId="0">
      <pane xSplit="2" ySplit="9" topLeftCell="D169" activePane="bottomRight" state="frozen"/>
      <selection activeCell="B1" sqref="B1"/>
      <selection pane="topRight" activeCell="O1" sqref="O1"/>
      <selection pane="bottomLeft" activeCell="B7" sqref="B7"/>
      <selection pane="bottomRight" activeCell="AI169" sqref="AI169"/>
    </sheetView>
  </sheetViews>
  <sheetFormatPr defaultRowHeight="12.75" x14ac:dyDescent="0.2"/>
  <cols>
    <col min="1" max="1" width="3.28515625" customWidth="1"/>
    <col min="2" max="2" width="15.85546875" style="212" customWidth="1"/>
    <col min="3" max="3" width="29" style="212" customWidth="1"/>
    <col min="4" max="5" width="15.140625" style="212" hidden="1" customWidth="1"/>
    <col min="6" max="6" width="15.140625" style="212" customWidth="1"/>
    <col min="7" max="7" width="12.5703125" style="212" hidden="1" customWidth="1"/>
    <col min="8" max="8" width="10" style="212" hidden="1" customWidth="1"/>
    <col min="9" max="9" width="10.140625" style="212" hidden="1" customWidth="1"/>
    <col min="10" max="10" width="11.85546875" style="212" hidden="1" customWidth="1"/>
    <col min="11" max="11" width="11.140625" style="212" hidden="1" customWidth="1"/>
    <col min="12" max="12" width="17.140625" style="212" hidden="1" customWidth="1"/>
    <col min="13" max="13" width="18.7109375" style="212" customWidth="1"/>
    <col min="14" max="14" width="15" style="212" customWidth="1"/>
    <col min="15" max="15" width="12.140625" style="212" hidden="1" customWidth="1"/>
    <col min="16" max="17" width="11.28515625" style="212" hidden="1" customWidth="1"/>
    <col min="18" max="19" width="11.5703125" style="212" hidden="1" customWidth="1"/>
    <col min="20" max="20" width="15" style="212" hidden="1" customWidth="1"/>
    <col min="21" max="21" width="11.42578125" style="212" hidden="1" customWidth="1"/>
    <col min="22" max="22" width="17.7109375" style="217" hidden="1" customWidth="1"/>
    <col min="23" max="23" width="28.28515625" style="218" customWidth="1"/>
    <col min="24" max="24" width="12.28515625" style="212" hidden="1" customWidth="1"/>
    <col min="25" max="25" width="12.140625" style="212" hidden="1" customWidth="1"/>
    <col min="26" max="26" width="12.85546875" style="212" hidden="1" customWidth="1"/>
    <col min="27" max="27" width="11.140625" style="212" hidden="1" customWidth="1"/>
    <col min="28" max="28" width="14.5703125" style="212" hidden="1" customWidth="1"/>
    <col min="29" max="29" width="18.28515625" style="212" customWidth="1"/>
    <col min="30" max="30" width="13" style="212" customWidth="1"/>
  </cols>
  <sheetData>
    <row r="1" spans="2:30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ht="13.5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2:30" ht="42" customHeight="1" x14ac:dyDescent="0.2">
      <c r="B4" s="10" t="s">
        <v>1</v>
      </c>
      <c r="C4" s="11" t="s">
        <v>2</v>
      </c>
      <c r="D4" s="12" t="s">
        <v>3</v>
      </c>
      <c r="E4" s="13" t="s">
        <v>4</v>
      </c>
      <c r="F4" s="14" t="s">
        <v>5</v>
      </c>
      <c r="G4" s="15" t="s">
        <v>6</v>
      </c>
      <c r="H4" s="16" t="s">
        <v>7</v>
      </c>
      <c r="I4" s="17"/>
      <c r="J4" s="17"/>
      <c r="K4" s="18" t="s">
        <v>8</v>
      </c>
      <c r="L4" s="19"/>
      <c r="M4" s="14" t="s">
        <v>9</v>
      </c>
      <c r="N4" s="20" t="s">
        <v>10</v>
      </c>
      <c r="O4" s="21" t="s">
        <v>11</v>
      </c>
      <c r="P4" s="21" t="s">
        <v>7</v>
      </c>
      <c r="Q4" s="22"/>
      <c r="R4" s="21" t="s">
        <v>12</v>
      </c>
      <c r="S4" s="21" t="s">
        <v>13</v>
      </c>
      <c r="T4" s="23" t="s">
        <v>14</v>
      </c>
      <c r="U4" s="24" t="s">
        <v>15</v>
      </c>
      <c r="V4" s="25" t="s">
        <v>16</v>
      </c>
      <c r="W4" s="26" t="s">
        <v>17</v>
      </c>
      <c r="X4" s="21" t="s">
        <v>18</v>
      </c>
      <c r="Y4" s="16" t="s">
        <v>19</v>
      </c>
      <c r="Z4" s="27" t="s">
        <v>20</v>
      </c>
      <c r="AA4" s="27"/>
      <c r="AB4" s="28" t="s">
        <v>10</v>
      </c>
      <c r="AC4" s="14" t="s">
        <v>21</v>
      </c>
      <c r="AD4" s="29" t="s">
        <v>10</v>
      </c>
    </row>
    <row r="5" spans="2:30" ht="14.25" customHeight="1" x14ac:dyDescent="0.2">
      <c r="B5" s="30"/>
      <c r="C5" s="31"/>
      <c r="D5" s="32"/>
      <c r="E5" s="33"/>
      <c r="F5" s="34"/>
      <c r="G5" s="35"/>
      <c r="H5" s="36" t="s">
        <v>22</v>
      </c>
      <c r="I5" s="36" t="s">
        <v>23</v>
      </c>
      <c r="J5" s="36" t="s">
        <v>24</v>
      </c>
      <c r="K5" s="37" t="s">
        <v>25</v>
      </c>
      <c r="L5" s="36" t="s">
        <v>26</v>
      </c>
      <c r="M5" s="34"/>
      <c r="N5" s="38"/>
      <c r="O5" s="39"/>
      <c r="P5" s="39" t="s">
        <v>22</v>
      </c>
      <c r="Q5" s="39" t="s">
        <v>23</v>
      </c>
      <c r="R5" s="39"/>
      <c r="S5" s="39"/>
      <c r="T5" s="23"/>
      <c r="U5" s="40"/>
      <c r="V5" s="41"/>
      <c r="W5" s="42"/>
      <c r="X5" s="39"/>
      <c r="Y5" s="36"/>
      <c r="Z5" s="36" t="s">
        <v>27</v>
      </c>
      <c r="AA5" s="36" t="s">
        <v>28</v>
      </c>
      <c r="AB5" s="43"/>
      <c r="AC5" s="34"/>
      <c r="AD5" s="44"/>
    </row>
    <row r="6" spans="2:30" ht="26.25" customHeight="1" x14ac:dyDescent="0.2">
      <c r="B6" s="30"/>
      <c r="C6" s="31"/>
      <c r="D6" s="32"/>
      <c r="E6" s="33"/>
      <c r="F6" s="34"/>
      <c r="G6" s="35"/>
      <c r="H6" s="36"/>
      <c r="I6" s="36"/>
      <c r="J6" s="36"/>
      <c r="K6" s="45"/>
      <c r="L6" s="36"/>
      <c r="M6" s="34"/>
      <c r="N6" s="38"/>
      <c r="O6" s="39"/>
      <c r="P6" s="46"/>
      <c r="Q6" s="46"/>
      <c r="R6" s="39"/>
      <c r="S6" s="39"/>
      <c r="T6" s="23"/>
      <c r="U6" s="40"/>
      <c r="V6" s="41"/>
      <c r="W6" s="42"/>
      <c r="X6" s="39"/>
      <c r="Y6" s="36"/>
      <c r="Z6" s="36"/>
      <c r="AA6" s="36"/>
      <c r="AB6" s="43"/>
      <c r="AC6" s="34"/>
      <c r="AD6" s="44"/>
    </row>
    <row r="7" spans="2:30" ht="27.75" customHeight="1" x14ac:dyDescent="0.2">
      <c r="B7" s="30"/>
      <c r="C7" s="31"/>
      <c r="D7" s="32"/>
      <c r="E7" s="33"/>
      <c r="F7" s="34"/>
      <c r="G7" s="35"/>
      <c r="H7" s="36"/>
      <c r="I7" s="36"/>
      <c r="J7" s="36"/>
      <c r="K7" s="45"/>
      <c r="L7" s="36"/>
      <c r="M7" s="34"/>
      <c r="N7" s="38"/>
      <c r="O7" s="39"/>
      <c r="P7" s="46"/>
      <c r="Q7" s="46"/>
      <c r="R7" s="39"/>
      <c r="S7" s="39"/>
      <c r="T7" s="23"/>
      <c r="U7" s="40"/>
      <c r="V7" s="41"/>
      <c r="W7" s="42"/>
      <c r="X7" s="39"/>
      <c r="Y7" s="36"/>
      <c r="Z7" s="36"/>
      <c r="AA7" s="36"/>
      <c r="AB7" s="43"/>
      <c r="AC7" s="34"/>
      <c r="AD7" s="44"/>
    </row>
    <row r="8" spans="2:30" ht="21.75" hidden="1" customHeight="1" x14ac:dyDescent="0.2">
      <c r="B8" s="30"/>
      <c r="C8" s="31"/>
      <c r="D8" s="32"/>
      <c r="E8" s="33"/>
      <c r="F8" s="34"/>
      <c r="G8" s="35"/>
      <c r="H8" s="36"/>
      <c r="I8" s="36"/>
      <c r="J8" s="36"/>
      <c r="K8" s="45"/>
      <c r="L8" s="36"/>
      <c r="M8" s="34"/>
      <c r="N8" s="38"/>
      <c r="O8" s="39"/>
      <c r="P8" s="46"/>
      <c r="Q8" s="46"/>
      <c r="R8" s="39"/>
      <c r="S8" s="39"/>
      <c r="T8" s="23"/>
      <c r="U8" s="40"/>
      <c r="V8" s="41"/>
      <c r="W8" s="42"/>
      <c r="X8" s="39"/>
      <c r="Y8" s="36"/>
      <c r="Z8" s="36"/>
      <c r="AA8" s="36"/>
      <c r="AB8" s="43"/>
      <c r="AC8" s="34"/>
      <c r="AD8" s="44"/>
    </row>
    <row r="9" spans="2:30" ht="231" customHeight="1" thickBot="1" x14ac:dyDescent="0.25">
      <c r="B9" s="47"/>
      <c r="C9" s="48"/>
      <c r="D9" s="49"/>
      <c r="E9" s="50"/>
      <c r="F9" s="51"/>
      <c r="G9" s="52"/>
      <c r="H9" s="53"/>
      <c r="I9" s="53"/>
      <c r="J9" s="53"/>
      <c r="K9" s="54"/>
      <c r="L9" s="53"/>
      <c r="M9" s="51"/>
      <c r="N9" s="55"/>
      <c r="O9" s="56"/>
      <c r="P9" s="57"/>
      <c r="Q9" s="57"/>
      <c r="R9" s="56"/>
      <c r="S9" s="56"/>
      <c r="T9" s="58"/>
      <c r="U9" s="59"/>
      <c r="V9" s="60"/>
      <c r="W9" s="61"/>
      <c r="X9" s="56"/>
      <c r="Y9" s="53"/>
      <c r="Z9" s="53"/>
      <c r="AA9" s="53"/>
      <c r="AB9" s="62"/>
      <c r="AC9" s="51"/>
      <c r="AD9" s="63"/>
    </row>
    <row r="10" spans="2:30" s="71" customFormat="1" ht="21.75" customHeight="1" x14ac:dyDescent="0.25">
      <c r="B10" s="64"/>
      <c r="C10" s="65" t="s">
        <v>29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  <c r="U10" s="67"/>
      <c r="V10" s="68"/>
      <c r="W10" s="69"/>
      <c r="X10" s="66"/>
      <c r="Y10" s="66"/>
      <c r="Z10" s="66"/>
      <c r="AA10" s="66"/>
      <c r="AB10" s="66"/>
      <c r="AC10" s="66"/>
      <c r="AD10" s="70"/>
    </row>
    <row r="11" spans="2:30" s="71" customFormat="1" ht="15.75" customHeight="1" x14ac:dyDescent="0.25">
      <c r="B11" s="72"/>
      <c r="C11" s="73" t="s">
        <v>30</v>
      </c>
      <c r="D11" s="74">
        <v>32.393999999999998</v>
      </c>
      <c r="E11" s="75">
        <v>1326.5</v>
      </c>
      <c r="F11" s="75">
        <f>E11*D11</f>
        <v>42970.640999999996</v>
      </c>
      <c r="G11" s="76">
        <v>42694.2</v>
      </c>
      <c r="H11" s="77"/>
      <c r="I11" s="77"/>
      <c r="J11" s="78"/>
      <c r="K11" s="78"/>
      <c r="L11" s="78"/>
      <c r="M11" s="78">
        <f t="shared" ref="M11:M16" si="0">G11+L11</f>
        <v>42694.2</v>
      </c>
      <c r="N11" s="78">
        <f t="shared" ref="N11:N16" si="1">M11-F11</f>
        <v>-276.44099999999889</v>
      </c>
      <c r="O11" s="78">
        <v>25509.8</v>
      </c>
      <c r="P11" s="77">
        <v>19564.900000000001</v>
      </c>
      <c r="Q11" s="77">
        <v>5944.9</v>
      </c>
      <c r="R11" s="77"/>
      <c r="S11" s="79"/>
      <c r="T11" s="80">
        <v>-1151.6781699999999</v>
      </c>
      <c r="U11" s="80">
        <v>-16.196999999999999</v>
      </c>
      <c r="V11" s="81">
        <f t="shared" ref="V11:V16" si="2">T11+U11</f>
        <v>-1167.8751699999998</v>
      </c>
      <c r="W11" s="82">
        <v>52</v>
      </c>
      <c r="X11" s="83"/>
      <c r="Y11" s="83">
        <v>52</v>
      </c>
      <c r="Z11" s="83"/>
      <c r="AA11" s="83"/>
      <c r="AB11" s="84">
        <f>Y11-W11</f>
        <v>0</v>
      </c>
      <c r="AC11" s="83">
        <f>Y11+AA11</f>
        <v>52</v>
      </c>
      <c r="AD11" s="85">
        <f>AC11-W11</f>
        <v>0</v>
      </c>
    </row>
    <row r="12" spans="2:30" s="71" customFormat="1" ht="15.75" customHeight="1" x14ac:dyDescent="0.25">
      <c r="B12" s="72"/>
      <c r="C12" s="73" t="s">
        <v>31</v>
      </c>
      <c r="D12" s="74">
        <v>399.983</v>
      </c>
      <c r="E12" s="75">
        <v>1308</v>
      </c>
      <c r="F12" s="75">
        <f t="shared" ref="F12:F16" si="3">E12*D12</f>
        <v>523177.76400000002</v>
      </c>
      <c r="G12" s="76">
        <v>523220.9</v>
      </c>
      <c r="H12" s="77"/>
      <c r="I12" s="77"/>
      <c r="J12" s="78"/>
      <c r="K12" s="78"/>
      <c r="L12" s="78"/>
      <c r="M12" s="78">
        <f t="shared" si="0"/>
        <v>523220.9</v>
      </c>
      <c r="N12" s="86">
        <f t="shared" si="1"/>
        <v>43.135999999998603</v>
      </c>
      <c r="O12" s="78">
        <v>355420.8</v>
      </c>
      <c r="P12" s="77">
        <v>274238.7</v>
      </c>
      <c r="Q12" s="77">
        <v>81182.100000000006</v>
      </c>
      <c r="R12" s="77"/>
      <c r="S12" s="79"/>
      <c r="T12" s="80">
        <v>-8121.8767200000002</v>
      </c>
      <c r="U12" s="80">
        <v>-99.995750000000001</v>
      </c>
      <c r="V12" s="81">
        <f t="shared" si="2"/>
        <v>-8221.8724700000002</v>
      </c>
      <c r="W12" s="82">
        <v>560</v>
      </c>
      <c r="X12" s="83"/>
      <c r="Y12" s="83">
        <v>544</v>
      </c>
      <c r="Z12" s="83"/>
      <c r="AA12" s="83"/>
      <c r="AB12" s="84">
        <f t="shared" ref="AB12:AB16" si="4">Y12-W12</f>
        <v>-16</v>
      </c>
      <c r="AC12" s="83">
        <f t="shared" ref="AC12:AC87" si="5">Y12+AA12</f>
        <v>544</v>
      </c>
      <c r="AD12" s="85">
        <f t="shared" ref="AD12:AD87" si="6">AC12-W12</f>
        <v>-16</v>
      </c>
    </row>
    <row r="13" spans="2:30" s="71" customFormat="1" ht="15.75" customHeight="1" x14ac:dyDescent="0.25">
      <c r="B13" s="72"/>
      <c r="C13" s="73" t="s">
        <v>32</v>
      </c>
      <c r="D13" s="74">
        <v>78.382999999999996</v>
      </c>
      <c r="E13" s="75">
        <v>1349.7</v>
      </c>
      <c r="F13" s="75">
        <f t="shared" si="3"/>
        <v>105793.53509999999</v>
      </c>
      <c r="G13" s="76">
        <v>105703.5</v>
      </c>
      <c r="H13" s="77"/>
      <c r="I13" s="77"/>
      <c r="J13" s="78"/>
      <c r="K13" s="78"/>
      <c r="L13" s="78"/>
      <c r="M13" s="78">
        <f t="shared" si="0"/>
        <v>105703.5</v>
      </c>
      <c r="N13" s="78">
        <f t="shared" si="1"/>
        <v>-90.03509999999369</v>
      </c>
      <c r="O13" s="78">
        <v>53895</v>
      </c>
      <c r="P13" s="77">
        <v>40910.300000000003</v>
      </c>
      <c r="Q13" s="77">
        <v>12984.7</v>
      </c>
      <c r="R13" s="77"/>
      <c r="S13" s="79"/>
      <c r="T13" s="80">
        <v>-1917.68787</v>
      </c>
      <c r="U13" s="80">
        <v>-31.353200000000001</v>
      </c>
      <c r="V13" s="81">
        <f t="shared" si="2"/>
        <v>-1949.04107</v>
      </c>
      <c r="W13" s="82">
        <v>129</v>
      </c>
      <c r="X13" s="83"/>
      <c r="Y13" s="83">
        <v>126</v>
      </c>
      <c r="Z13" s="83"/>
      <c r="AA13" s="83"/>
      <c r="AB13" s="84">
        <f t="shared" si="4"/>
        <v>-3</v>
      </c>
      <c r="AC13" s="83">
        <f t="shared" si="5"/>
        <v>126</v>
      </c>
      <c r="AD13" s="85">
        <f t="shared" si="6"/>
        <v>-3</v>
      </c>
    </row>
    <row r="14" spans="2:30" s="71" customFormat="1" ht="15.75" customHeight="1" x14ac:dyDescent="0.25">
      <c r="B14" s="72"/>
      <c r="C14" s="73" t="s">
        <v>33</v>
      </c>
      <c r="D14" s="74">
        <v>30.471</v>
      </c>
      <c r="E14" s="75">
        <v>1793.7</v>
      </c>
      <c r="F14" s="75">
        <f t="shared" si="3"/>
        <v>54655.832699999999</v>
      </c>
      <c r="G14" s="76">
        <v>48104.1</v>
      </c>
      <c r="H14" s="78"/>
      <c r="I14" s="78"/>
      <c r="J14" s="78"/>
      <c r="K14" s="78"/>
      <c r="L14" s="78"/>
      <c r="M14" s="78">
        <f t="shared" si="0"/>
        <v>48104.1</v>
      </c>
      <c r="N14" s="78">
        <f t="shared" si="1"/>
        <v>-6551.7327000000005</v>
      </c>
      <c r="O14" s="78">
        <v>25420.2</v>
      </c>
      <c r="P14" s="78">
        <v>19744.400000000001</v>
      </c>
      <c r="Q14" s="78">
        <v>5675.8</v>
      </c>
      <c r="R14" s="78"/>
      <c r="S14" s="79"/>
      <c r="T14" s="80">
        <v>-624.89283999999998</v>
      </c>
      <c r="U14" s="80">
        <v>-15.2355</v>
      </c>
      <c r="V14" s="81">
        <f t="shared" si="2"/>
        <v>-640.12833999999998</v>
      </c>
      <c r="W14" s="82">
        <v>47</v>
      </c>
      <c r="X14" s="83"/>
      <c r="Y14" s="83">
        <v>46</v>
      </c>
      <c r="Z14" s="83"/>
      <c r="AA14" s="83"/>
      <c r="AB14" s="84">
        <f t="shared" si="4"/>
        <v>-1</v>
      </c>
      <c r="AC14" s="83">
        <f t="shared" si="5"/>
        <v>46</v>
      </c>
      <c r="AD14" s="85">
        <f t="shared" si="6"/>
        <v>-1</v>
      </c>
    </row>
    <row r="15" spans="2:30" s="71" customFormat="1" ht="15.75" customHeight="1" x14ac:dyDescent="0.25">
      <c r="B15" s="72"/>
      <c r="C15" s="73" t="s">
        <v>34</v>
      </c>
      <c r="D15" s="74">
        <v>31.343</v>
      </c>
      <c r="E15" s="75">
        <v>1458</v>
      </c>
      <c r="F15" s="75">
        <f t="shared" si="3"/>
        <v>45698.093999999997</v>
      </c>
      <c r="G15" s="76">
        <v>44143.7</v>
      </c>
      <c r="H15" s="77"/>
      <c r="I15" s="77"/>
      <c r="J15" s="78"/>
      <c r="K15" s="78"/>
      <c r="L15" s="78"/>
      <c r="M15" s="78">
        <f t="shared" si="0"/>
        <v>44143.7</v>
      </c>
      <c r="N15" s="78">
        <f t="shared" si="1"/>
        <v>-1554.3940000000002</v>
      </c>
      <c r="O15" s="78">
        <v>28812.3</v>
      </c>
      <c r="P15" s="77">
        <v>22210.799999999999</v>
      </c>
      <c r="Q15" s="77">
        <v>6601.4</v>
      </c>
      <c r="R15" s="77"/>
      <c r="S15" s="79"/>
      <c r="T15" s="80">
        <v>-1148.0663300000001</v>
      </c>
      <c r="U15" s="80">
        <v>-15.6715</v>
      </c>
      <c r="V15" s="81">
        <f t="shared" si="2"/>
        <v>-1163.73783</v>
      </c>
      <c r="W15" s="82">
        <v>49</v>
      </c>
      <c r="X15" s="83"/>
      <c r="Y15" s="83">
        <v>49</v>
      </c>
      <c r="Z15" s="83"/>
      <c r="AA15" s="83"/>
      <c r="AB15" s="84">
        <f t="shared" si="4"/>
        <v>0</v>
      </c>
      <c r="AC15" s="83">
        <f t="shared" si="5"/>
        <v>49</v>
      </c>
      <c r="AD15" s="85">
        <f t="shared" si="6"/>
        <v>0</v>
      </c>
    </row>
    <row r="16" spans="2:30" s="71" customFormat="1" ht="15.75" customHeight="1" x14ac:dyDescent="0.25">
      <c r="B16" s="72"/>
      <c r="C16" s="73" t="s">
        <v>35</v>
      </c>
      <c r="D16" s="74">
        <v>54.972999999999999</v>
      </c>
      <c r="E16" s="75">
        <v>1242.4000000000001</v>
      </c>
      <c r="F16" s="75">
        <f t="shared" si="3"/>
        <v>68298.455199999997</v>
      </c>
      <c r="G16" s="76">
        <v>67875.5</v>
      </c>
      <c r="H16" s="77"/>
      <c r="I16" s="77"/>
      <c r="J16" s="78"/>
      <c r="K16" s="78"/>
      <c r="L16" s="78"/>
      <c r="M16" s="78">
        <f t="shared" si="0"/>
        <v>67875.5</v>
      </c>
      <c r="N16" s="78">
        <f t="shared" si="1"/>
        <v>-422.95519999999669</v>
      </c>
      <c r="O16" s="78">
        <v>45909</v>
      </c>
      <c r="P16" s="77">
        <v>35397.699999999997</v>
      </c>
      <c r="Q16" s="77">
        <v>10511.3</v>
      </c>
      <c r="R16" s="77"/>
      <c r="S16" s="79"/>
      <c r="T16" s="80">
        <v>-1287.7980700000001</v>
      </c>
      <c r="U16" s="80">
        <v>-21.9892</v>
      </c>
      <c r="V16" s="81">
        <f t="shared" si="2"/>
        <v>-1309.78727</v>
      </c>
      <c r="W16" s="82">
        <v>83</v>
      </c>
      <c r="X16" s="83"/>
      <c r="Y16" s="83">
        <v>84</v>
      </c>
      <c r="Z16" s="83"/>
      <c r="AA16" s="83"/>
      <c r="AB16" s="87">
        <f t="shared" si="4"/>
        <v>1</v>
      </c>
      <c r="AC16" s="83">
        <f t="shared" si="5"/>
        <v>84</v>
      </c>
      <c r="AD16" s="88">
        <f t="shared" si="6"/>
        <v>1</v>
      </c>
    </row>
    <row r="17" spans="2:30" s="71" customFormat="1" ht="15.75" customHeight="1" thickBot="1" x14ac:dyDescent="0.3">
      <c r="B17" s="89"/>
      <c r="C17" s="90"/>
      <c r="D17" s="91"/>
      <c r="E17" s="92"/>
      <c r="F17" s="92"/>
      <c r="G17" s="92"/>
      <c r="H17" s="93"/>
      <c r="I17" s="93"/>
      <c r="J17" s="94"/>
      <c r="K17" s="94"/>
      <c r="L17" s="94"/>
      <c r="M17" s="94"/>
      <c r="N17" s="94"/>
      <c r="O17" s="94"/>
      <c r="P17" s="93"/>
      <c r="Q17" s="93"/>
      <c r="R17" s="93"/>
      <c r="S17" s="95"/>
      <c r="T17" s="96"/>
      <c r="U17" s="96"/>
      <c r="V17" s="97"/>
      <c r="W17" s="98"/>
      <c r="X17" s="99"/>
      <c r="Y17" s="99"/>
      <c r="Z17" s="99"/>
      <c r="AA17" s="99"/>
      <c r="AB17" s="100"/>
      <c r="AC17" s="99"/>
      <c r="AD17" s="101"/>
    </row>
    <row r="18" spans="2:30" s="71" customFormat="1" ht="15.75" customHeight="1" x14ac:dyDescent="0.25">
      <c r="B18" s="102"/>
      <c r="C18" s="65" t="s">
        <v>36</v>
      </c>
      <c r="D18" s="103"/>
      <c r="E18" s="104"/>
      <c r="F18" s="104"/>
      <c r="G18" s="104"/>
      <c r="H18" s="105"/>
      <c r="I18" s="105"/>
      <c r="J18" s="106"/>
      <c r="K18" s="106"/>
      <c r="L18" s="106"/>
      <c r="M18" s="106"/>
      <c r="N18" s="106"/>
      <c r="O18" s="106"/>
      <c r="P18" s="105"/>
      <c r="Q18" s="105"/>
      <c r="R18" s="105"/>
      <c r="S18" s="107"/>
      <c r="T18" s="108"/>
      <c r="U18" s="108"/>
      <c r="V18" s="109"/>
      <c r="W18" s="110"/>
      <c r="X18" s="66"/>
      <c r="Y18" s="66"/>
      <c r="Z18" s="66"/>
      <c r="AA18" s="66"/>
      <c r="AB18" s="111"/>
      <c r="AC18" s="66"/>
      <c r="AD18" s="112"/>
    </row>
    <row r="19" spans="2:30" s="71" customFormat="1" ht="15.75" customHeight="1" x14ac:dyDescent="0.25">
      <c r="B19" s="113"/>
      <c r="C19" s="114"/>
      <c r="D19" s="74"/>
      <c r="E19" s="75"/>
      <c r="F19" s="75"/>
      <c r="G19" s="75"/>
      <c r="H19" s="77"/>
      <c r="I19" s="77"/>
      <c r="J19" s="78"/>
      <c r="K19" s="78"/>
      <c r="L19" s="78"/>
      <c r="M19" s="78"/>
      <c r="N19" s="78"/>
      <c r="O19" s="78"/>
      <c r="P19" s="77"/>
      <c r="Q19" s="77"/>
      <c r="R19" s="77"/>
      <c r="S19" s="79"/>
      <c r="T19" s="80"/>
      <c r="U19" s="80"/>
      <c r="V19" s="81"/>
      <c r="W19" s="82"/>
      <c r="X19" s="83"/>
      <c r="Y19" s="83"/>
      <c r="Z19" s="83"/>
      <c r="AA19" s="83"/>
      <c r="AB19" s="84"/>
      <c r="AC19" s="83"/>
      <c r="AD19" s="85"/>
    </row>
    <row r="20" spans="2:30" s="71" customFormat="1" ht="15.75" customHeight="1" x14ac:dyDescent="0.25">
      <c r="B20" s="113"/>
      <c r="C20" s="83" t="s">
        <v>37</v>
      </c>
      <c r="D20" s="74">
        <v>38.405999999999999</v>
      </c>
      <c r="E20" s="75">
        <v>1868.1</v>
      </c>
      <c r="F20" s="75">
        <f t="shared" ref="F20:F40" si="7">E20*D20</f>
        <v>71746.248599999992</v>
      </c>
      <c r="G20" s="75">
        <v>71574.8</v>
      </c>
      <c r="H20" s="77"/>
      <c r="I20" s="77"/>
      <c r="J20" s="78"/>
      <c r="K20" s="78"/>
      <c r="L20" s="78">
        <v>-3.6</v>
      </c>
      <c r="M20" s="78">
        <f t="shared" ref="M20:M40" si="8">G20+L20</f>
        <v>71571.199999999997</v>
      </c>
      <c r="N20" s="78">
        <f t="shared" ref="N20:N40" si="9">M20-F20</f>
        <v>-175.04859999999462</v>
      </c>
      <c r="O20" s="78">
        <v>40287.4</v>
      </c>
      <c r="P20" s="77">
        <v>30942.7</v>
      </c>
      <c r="Q20" s="77">
        <v>9344.7000000000007</v>
      </c>
      <c r="R20" s="77"/>
      <c r="S20" s="115"/>
      <c r="T20" s="80">
        <v>-1152.53928</v>
      </c>
      <c r="U20" s="80">
        <v>-19.202999999999999</v>
      </c>
      <c r="V20" s="81">
        <f t="shared" ref="V20:V29" si="10">T20+U20</f>
        <v>-1171.7422799999999</v>
      </c>
      <c r="W20" s="82">
        <v>94</v>
      </c>
      <c r="X20" s="83"/>
      <c r="Y20" s="83">
        <v>88</v>
      </c>
      <c r="Z20" s="83"/>
      <c r="AA20" s="83"/>
      <c r="AB20" s="84">
        <f>(Y20+AA20)-W20</f>
        <v>-6</v>
      </c>
      <c r="AC20" s="83">
        <f>Y20+AA20</f>
        <v>88</v>
      </c>
      <c r="AD20" s="85">
        <f>AC20-W20</f>
        <v>-6</v>
      </c>
    </row>
    <row r="21" spans="2:30" s="71" customFormat="1" ht="15.75" customHeight="1" x14ac:dyDescent="0.25">
      <c r="B21" s="113"/>
      <c r="C21" s="83" t="s">
        <v>38</v>
      </c>
      <c r="D21" s="74">
        <v>4.0739999999999998</v>
      </c>
      <c r="E21" s="75">
        <v>7138.6</v>
      </c>
      <c r="F21" s="75">
        <f t="shared" si="7"/>
        <v>29082.6564</v>
      </c>
      <c r="G21" s="75">
        <v>28305.5</v>
      </c>
      <c r="H21" s="77"/>
      <c r="I21" s="77"/>
      <c r="J21" s="78"/>
      <c r="K21" s="78"/>
      <c r="L21" s="78">
        <v>-348.2</v>
      </c>
      <c r="M21" s="78">
        <f t="shared" si="8"/>
        <v>27957.3</v>
      </c>
      <c r="N21" s="78">
        <f t="shared" si="9"/>
        <v>-1125.3564000000006</v>
      </c>
      <c r="O21" s="78">
        <v>11610.1</v>
      </c>
      <c r="P21" s="77">
        <v>8972.7999999999993</v>
      </c>
      <c r="Q21" s="77">
        <v>2637.3</v>
      </c>
      <c r="R21" s="77"/>
      <c r="S21" s="77"/>
      <c r="T21" s="80">
        <v>-469.24630999999999</v>
      </c>
      <c r="U21" s="80">
        <v>-2.4443999999999999</v>
      </c>
      <c r="V21" s="81">
        <f t="shared" si="10"/>
        <v>-471.69070999999997</v>
      </c>
      <c r="W21" s="82">
        <v>22</v>
      </c>
      <c r="X21" s="83"/>
      <c r="Y21" s="83">
        <v>22</v>
      </c>
      <c r="Z21" s="83"/>
      <c r="AA21" s="83"/>
      <c r="AB21" s="84">
        <f>(Y21+AA21)-W21</f>
        <v>0</v>
      </c>
      <c r="AC21" s="116">
        <f>Y21+AA21</f>
        <v>22</v>
      </c>
      <c r="AD21" s="85">
        <f>AC21-W21</f>
        <v>0</v>
      </c>
    </row>
    <row r="22" spans="2:30" s="71" customFormat="1" ht="15.75" customHeight="1" x14ac:dyDescent="0.25">
      <c r="B22" s="113"/>
      <c r="C22" s="117" t="s">
        <v>39</v>
      </c>
      <c r="D22" s="74">
        <v>16.126999999999999</v>
      </c>
      <c r="E22" s="75">
        <v>2591.4</v>
      </c>
      <c r="F22" s="75">
        <f t="shared" si="7"/>
        <v>41791.507799999999</v>
      </c>
      <c r="G22" s="75">
        <v>38692.699999999997</v>
      </c>
      <c r="H22" s="77"/>
      <c r="I22" s="77"/>
      <c r="J22" s="78"/>
      <c r="K22" s="78"/>
      <c r="L22" s="78">
        <v>-897</v>
      </c>
      <c r="M22" s="78">
        <f t="shared" si="8"/>
        <v>37795.699999999997</v>
      </c>
      <c r="N22" s="78">
        <f t="shared" si="9"/>
        <v>-3995.8078000000023</v>
      </c>
      <c r="O22" s="78">
        <v>20529.900000000001</v>
      </c>
      <c r="P22" s="77">
        <v>15727.6</v>
      </c>
      <c r="Q22" s="77">
        <v>4802.3</v>
      </c>
      <c r="R22" s="77"/>
      <c r="S22" s="77"/>
      <c r="T22" s="80">
        <v>-533.23316</v>
      </c>
      <c r="U22" s="80">
        <v>-9.6761999999999997</v>
      </c>
      <c r="V22" s="81">
        <f t="shared" si="10"/>
        <v>-542.90935999999999</v>
      </c>
      <c r="W22" s="82">
        <v>49</v>
      </c>
      <c r="X22" s="83"/>
      <c r="Y22" s="83">
        <v>44</v>
      </c>
      <c r="Z22" s="83"/>
      <c r="AA22" s="83"/>
      <c r="AB22" s="84">
        <f t="shared" ref="AB22:AB40" si="11">(Y22+AA22)-W22</f>
        <v>-5</v>
      </c>
      <c r="AC22" s="116">
        <f>Y22+AA22</f>
        <v>44</v>
      </c>
      <c r="AD22" s="85">
        <f t="shared" ref="AD22:AD40" si="12">AC22-W22</f>
        <v>-5</v>
      </c>
    </row>
    <row r="23" spans="2:30" s="71" customFormat="1" ht="15.75" customHeight="1" x14ac:dyDescent="0.25">
      <c r="B23" s="113"/>
      <c r="C23" s="118" t="s">
        <v>40</v>
      </c>
      <c r="D23" s="74">
        <v>15.077999999999999</v>
      </c>
      <c r="E23" s="75">
        <v>2956.5</v>
      </c>
      <c r="F23" s="75">
        <f t="shared" si="7"/>
        <v>44578.106999999996</v>
      </c>
      <c r="G23" s="75">
        <v>43973.5</v>
      </c>
      <c r="H23" s="77"/>
      <c r="I23" s="77"/>
      <c r="J23" s="78"/>
      <c r="K23" s="78"/>
      <c r="L23" s="78">
        <v>-547.79999999999995</v>
      </c>
      <c r="M23" s="78">
        <f>G23+L23</f>
        <v>43425.7</v>
      </c>
      <c r="N23" s="78">
        <f t="shared" si="9"/>
        <v>-1152.4069999999992</v>
      </c>
      <c r="O23" s="78">
        <v>24345.599999999999</v>
      </c>
      <c r="P23" s="77">
        <v>18796.8</v>
      </c>
      <c r="Q23" s="77">
        <v>5548.8</v>
      </c>
      <c r="R23" s="77"/>
      <c r="S23" s="119"/>
      <c r="T23" s="80">
        <v>-523.22242000000006</v>
      </c>
      <c r="U23" s="80">
        <v>-9.0467999999999993</v>
      </c>
      <c r="V23" s="81">
        <f t="shared" si="10"/>
        <v>-532.26922000000002</v>
      </c>
      <c r="W23" s="82">
        <v>55</v>
      </c>
      <c r="X23" s="83"/>
      <c r="Y23" s="83">
        <v>51</v>
      </c>
      <c r="Z23" s="83"/>
      <c r="AA23" s="83">
        <v>-1</v>
      </c>
      <c r="AB23" s="84">
        <f>(Y23+AA23)-W23</f>
        <v>-5</v>
      </c>
      <c r="AC23" s="116">
        <f t="shared" ref="AC23:AC39" si="13">Y23+AA23</f>
        <v>50</v>
      </c>
      <c r="AD23" s="85">
        <f t="shared" si="12"/>
        <v>-5</v>
      </c>
    </row>
    <row r="24" spans="2:30" s="71" customFormat="1" ht="15.75" customHeight="1" x14ac:dyDescent="0.25">
      <c r="B24" s="113"/>
      <c r="C24" s="83" t="s">
        <v>41</v>
      </c>
      <c r="D24" s="74">
        <v>13.601000000000001</v>
      </c>
      <c r="E24" s="75">
        <v>2975.8</v>
      </c>
      <c r="F24" s="75">
        <f t="shared" si="7"/>
        <v>40473.855800000005</v>
      </c>
      <c r="G24" s="75">
        <v>44739.6</v>
      </c>
      <c r="H24" s="77"/>
      <c r="I24" s="77"/>
      <c r="J24" s="78"/>
      <c r="K24" s="78"/>
      <c r="L24" s="78">
        <v>-4340.7719999999999</v>
      </c>
      <c r="M24" s="78">
        <f t="shared" si="8"/>
        <v>40398.828000000001</v>
      </c>
      <c r="N24" s="78">
        <f t="shared" si="9"/>
        <v>-75.027800000003481</v>
      </c>
      <c r="O24" s="78">
        <v>22359</v>
      </c>
      <c r="P24" s="77">
        <v>17128</v>
      </c>
      <c r="Q24" s="77">
        <v>5231</v>
      </c>
      <c r="R24" s="77"/>
      <c r="S24" s="119"/>
      <c r="T24" s="80">
        <v>-518.14658999999995</v>
      </c>
      <c r="U24" s="80">
        <v>-8.1606000000000005</v>
      </c>
      <c r="V24" s="81">
        <f t="shared" si="10"/>
        <v>-526.30718999999999</v>
      </c>
      <c r="W24" s="82">
        <v>46</v>
      </c>
      <c r="X24" s="83"/>
      <c r="Y24" s="83">
        <v>56</v>
      </c>
      <c r="Z24" s="83"/>
      <c r="AA24" s="83">
        <v>-10</v>
      </c>
      <c r="AB24" s="84">
        <f t="shared" si="11"/>
        <v>0</v>
      </c>
      <c r="AC24" s="116">
        <f t="shared" si="13"/>
        <v>46</v>
      </c>
      <c r="AD24" s="85">
        <f t="shared" si="12"/>
        <v>0</v>
      </c>
    </row>
    <row r="25" spans="2:30" s="71" customFormat="1" ht="15.75" customHeight="1" x14ac:dyDescent="0.25">
      <c r="B25" s="113"/>
      <c r="C25" s="83" t="s">
        <v>42</v>
      </c>
      <c r="D25" s="74">
        <v>37.365000000000002</v>
      </c>
      <c r="E25" s="75">
        <v>2033.6</v>
      </c>
      <c r="F25" s="75">
        <f t="shared" si="7"/>
        <v>75985.464000000007</v>
      </c>
      <c r="G25" s="75">
        <v>84164.5</v>
      </c>
      <c r="H25" s="77"/>
      <c r="I25" s="77"/>
      <c r="J25" s="78"/>
      <c r="K25" s="78"/>
      <c r="L25" s="78">
        <f>717.6-8913.4</f>
        <v>-8195.7999999999993</v>
      </c>
      <c r="M25" s="78">
        <f t="shared" si="8"/>
        <v>75968.7</v>
      </c>
      <c r="N25" s="78">
        <f t="shared" si="9"/>
        <v>-16.764000000010128</v>
      </c>
      <c r="O25" s="78">
        <v>47434.7</v>
      </c>
      <c r="P25" s="77">
        <v>36440.1</v>
      </c>
      <c r="Q25" s="77">
        <v>10994.6</v>
      </c>
      <c r="R25" s="77">
        <f>455.4-3191.1</f>
        <v>-2735.7</v>
      </c>
      <c r="S25" s="119"/>
      <c r="T25" s="80">
        <v>-1148.9618</v>
      </c>
      <c r="U25" s="80">
        <v>-18.682500000000001</v>
      </c>
      <c r="V25" s="81">
        <f t="shared" si="10"/>
        <v>-1167.6442999999999</v>
      </c>
      <c r="W25" s="82">
        <v>74</v>
      </c>
      <c r="X25" s="83"/>
      <c r="Y25" s="83">
        <v>82</v>
      </c>
      <c r="Z25" s="83"/>
      <c r="AA25" s="83">
        <f>1-9</f>
        <v>-8</v>
      </c>
      <c r="AB25" s="84">
        <f t="shared" si="11"/>
        <v>0</v>
      </c>
      <c r="AC25" s="116">
        <f t="shared" si="13"/>
        <v>74</v>
      </c>
      <c r="AD25" s="85">
        <f t="shared" si="12"/>
        <v>0</v>
      </c>
    </row>
    <row r="26" spans="2:30" s="71" customFormat="1" ht="15.75" customHeight="1" x14ac:dyDescent="0.25">
      <c r="B26" s="113"/>
      <c r="C26" s="83" t="s">
        <v>43</v>
      </c>
      <c r="D26" s="74">
        <v>7.8639999999999999</v>
      </c>
      <c r="E26" s="75">
        <v>4883.3999999999996</v>
      </c>
      <c r="F26" s="75">
        <f t="shared" si="7"/>
        <v>38403.0576</v>
      </c>
      <c r="G26" s="75">
        <v>37647</v>
      </c>
      <c r="H26" s="77"/>
      <c r="I26" s="77"/>
      <c r="J26" s="78"/>
      <c r="K26" s="78"/>
      <c r="L26" s="78">
        <v>-18</v>
      </c>
      <c r="M26" s="78">
        <f t="shared" si="8"/>
        <v>37629</v>
      </c>
      <c r="N26" s="78">
        <f t="shared" si="9"/>
        <v>-774.05760000000009</v>
      </c>
      <c r="O26" s="78">
        <v>16081</v>
      </c>
      <c r="P26" s="77">
        <v>12242.4</v>
      </c>
      <c r="Q26" s="77">
        <v>3838.5</v>
      </c>
      <c r="R26" s="77"/>
      <c r="S26" s="77"/>
      <c r="T26" s="80">
        <v>-498.43094000000002</v>
      </c>
      <c r="U26" s="80">
        <v>-4.7183999999999999</v>
      </c>
      <c r="V26" s="81">
        <f t="shared" si="10"/>
        <v>-503.14934</v>
      </c>
      <c r="W26" s="82">
        <v>43</v>
      </c>
      <c r="X26" s="83"/>
      <c r="Y26" s="83">
        <v>41</v>
      </c>
      <c r="Z26" s="83"/>
      <c r="AA26" s="83"/>
      <c r="AB26" s="84">
        <f>(Y26+AA26)-W26</f>
        <v>-2</v>
      </c>
      <c r="AC26" s="116">
        <f t="shared" si="13"/>
        <v>41</v>
      </c>
      <c r="AD26" s="85">
        <f t="shared" si="12"/>
        <v>-2</v>
      </c>
    </row>
    <row r="27" spans="2:30" s="71" customFormat="1" ht="15.75" customHeight="1" x14ac:dyDescent="0.25">
      <c r="B27" s="113"/>
      <c r="C27" s="83" t="s">
        <v>44</v>
      </c>
      <c r="D27" s="74">
        <v>19.603999999999999</v>
      </c>
      <c r="E27" s="75">
        <v>2622.9</v>
      </c>
      <c r="F27" s="75">
        <f t="shared" si="7"/>
        <v>51419.331599999998</v>
      </c>
      <c r="G27" s="75">
        <v>52560.5</v>
      </c>
      <c r="H27" s="77"/>
      <c r="I27" s="77"/>
      <c r="J27" s="78"/>
      <c r="K27" s="78"/>
      <c r="L27" s="78">
        <f>307.4-1561.1</f>
        <v>-1253.6999999999998</v>
      </c>
      <c r="M27" s="78">
        <f t="shared" si="8"/>
        <v>51306.8</v>
      </c>
      <c r="N27" s="78">
        <f t="shared" si="9"/>
        <v>-112.5315999999948</v>
      </c>
      <c r="O27" s="78">
        <v>23278.3</v>
      </c>
      <c r="P27" s="77">
        <v>17369</v>
      </c>
      <c r="Q27" s="77">
        <v>5909.3</v>
      </c>
      <c r="R27" s="77"/>
      <c r="S27" s="77"/>
      <c r="T27" s="80">
        <v>-545.18214</v>
      </c>
      <c r="U27" s="80">
        <v>-11.7624</v>
      </c>
      <c r="V27" s="81">
        <f t="shared" si="10"/>
        <v>-556.94453999999996</v>
      </c>
      <c r="W27" s="82">
        <v>48</v>
      </c>
      <c r="X27" s="83"/>
      <c r="Y27" s="83">
        <v>47</v>
      </c>
      <c r="Z27" s="83"/>
      <c r="AA27" s="83"/>
      <c r="AB27" s="84">
        <f>(Y27+AA27)-W27</f>
        <v>-1</v>
      </c>
      <c r="AC27" s="116">
        <f t="shared" si="13"/>
        <v>47</v>
      </c>
      <c r="AD27" s="85">
        <f t="shared" si="12"/>
        <v>-1</v>
      </c>
    </row>
    <row r="28" spans="2:30" s="71" customFormat="1" ht="15.75" customHeight="1" x14ac:dyDescent="0.25">
      <c r="B28" s="113"/>
      <c r="C28" s="73" t="s">
        <v>45</v>
      </c>
      <c r="D28" s="74">
        <v>19.343</v>
      </c>
      <c r="E28" s="75">
        <v>2405.3000000000002</v>
      </c>
      <c r="F28" s="75">
        <f t="shared" si="7"/>
        <v>46525.717900000003</v>
      </c>
      <c r="G28" s="75">
        <v>46130.5</v>
      </c>
      <c r="H28" s="77"/>
      <c r="I28" s="77"/>
      <c r="J28" s="78"/>
      <c r="K28" s="78"/>
      <c r="L28" s="78"/>
      <c r="M28" s="78">
        <f t="shared" si="8"/>
        <v>46130.5</v>
      </c>
      <c r="N28" s="78">
        <f t="shared" si="9"/>
        <v>-395.21790000000328</v>
      </c>
      <c r="O28" s="78">
        <v>27220.7</v>
      </c>
      <c r="P28" s="77">
        <v>20990.3</v>
      </c>
      <c r="Q28" s="77">
        <v>6230.4</v>
      </c>
      <c r="R28" s="77">
        <v>284.2</v>
      </c>
      <c r="S28" s="77"/>
      <c r="T28" s="80">
        <v>-544.28520000000003</v>
      </c>
      <c r="U28" s="80">
        <v>-11.6058</v>
      </c>
      <c r="V28" s="81">
        <f t="shared" si="10"/>
        <v>-555.89100000000008</v>
      </c>
      <c r="W28" s="82">
        <v>57</v>
      </c>
      <c r="X28" s="83"/>
      <c r="Y28" s="83">
        <v>53</v>
      </c>
      <c r="Z28" s="83"/>
      <c r="AA28" s="83"/>
      <c r="AB28" s="84">
        <f t="shared" si="11"/>
        <v>-4</v>
      </c>
      <c r="AC28" s="116">
        <f t="shared" si="13"/>
        <v>53</v>
      </c>
      <c r="AD28" s="85">
        <f t="shared" si="12"/>
        <v>-4</v>
      </c>
    </row>
    <row r="29" spans="2:30" s="71" customFormat="1" ht="15.75" customHeight="1" x14ac:dyDescent="0.25">
      <c r="B29" s="113"/>
      <c r="C29" s="117" t="s">
        <v>46</v>
      </c>
      <c r="D29" s="74">
        <v>17.677</v>
      </c>
      <c r="E29" s="75">
        <v>2271.3000000000002</v>
      </c>
      <c r="F29" s="75">
        <f t="shared" si="7"/>
        <v>40149.770100000002</v>
      </c>
      <c r="G29" s="75">
        <v>35894.855000000003</v>
      </c>
      <c r="H29" s="77"/>
      <c r="I29" s="77"/>
      <c r="J29" s="78"/>
      <c r="K29" s="78"/>
      <c r="L29" s="78">
        <v>-310.5</v>
      </c>
      <c r="M29" s="78">
        <f t="shared" si="8"/>
        <v>35584.355000000003</v>
      </c>
      <c r="N29" s="78">
        <f t="shared" si="9"/>
        <v>-4565.4150999999983</v>
      </c>
      <c r="O29" s="78">
        <v>21868.9</v>
      </c>
      <c r="P29" s="77">
        <v>16829.900000000001</v>
      </c>
      <c r="Q29" s="77">
        <v>5039</v>
      </c>
      <c r="R29" s="77"/>
      <c r="S29" s="77"/>
      <c r="T29" s="80">
        <v>-532.15409</v>
      </c>
      <c r="U29" s="80">
        <v>-10.606199999999999</v>
      </c>
      <c r="V29" s="81">
        <f t="shared" si="10"/>
        <v>-542.76028999999994</v>
      </c>
      <c r="W29" s="82">
        <v>64</v>
      </c>
      <c r="X29" s="83"/>
      <c r="Y29" s="83">
        <v>61</v>
      </c>
      <c r="Z29" s="83"/>
      <c r="AA29" s="83">
        <v>-0.5</v>
      </c>
      <c r="AB29" s="84">
        <f t="shared" si="11"/>
        <v>-3.5</v>
      </c>
      <c r="AC29" s="116">
        <f>Y29+AA29</f>
        <v>60.5</v>
      </c>
      <c r="AD29" s="85">
        <v>-3</v>
      </c>
    </row>
    <row r="30" spans="2:30" s="71" customFormat="1" ht="15.75" customHeight="1" x14ac:dyDescent="0.25">
      <c r="B30" s="113"/>
      <c r="C30" s="83" t="s">
        <v>47</v>
      </c>
      <c r="D30" s="74">
        <v>7.657</v>
      </c>
      <c r="E30" s="75">
        <v>5400.1</v>
      </c>
      <c r="F30" s="75">
        <f t="shared" si="7"/>
        <v>41348.565700000006</v>
      </c>
      <c r="G30" s="75">
        <v>36394.199999999997</v>
      </c>
      <c r="H30" s="77"/>
      <c r="I30" s="77"/>
      <c r="J30" s="78"/>
      <c r="K30" s="78"/>
      <c r="L30" s="78">
        <v>-567</v>
      </c>
      <c r="M30" s="78">
        <f t="shared" si="8"/>
        <v>35827.199999999997</v>
      </c>
      <c r="N30" s="78">
        <f t="shared" si="9"/>
        <v>-5521.3657000000094</v>
      </c>
      <c r="O30" s="78">
        <v>20323.5</v>
      </c>
      <c r="P30" s="77">
        <v>15828.6</v>
      </c>
      <c r="Q30" s="77">
        <v>4494.8999999999996</v>
      </c>
      <c r="R30" s="77"/>
      <c r="S30" s="77"/>
      <c r="T30" s="80">
        <v>-481.55957000000001</v>
      </c>
      <c r="U30" s="80">
        <v>-4.5941999999999998</v>
      </c>
      <c r="V30" s="81">
        <f>U30+T30</f>
        <v>-486.15377000000001</v>
      </c>
      <c r="W30" s="82">
        <v>41</v>
      </c>
      <c r="X30" s="83"/>
      <c r="Y30" s="83">
        <v>41</v>
      </c>
      <c r="Z30" s="83"/>
      <c r="AA30" s="83"/>
      <c r="AB30" s="84">
        <f t="shared" si="11"/>
        <v>0</v>
      </c>
      <c r="AC30" s="116">
        <f t="shared" si="13"/>
        <v>41</v>
      </c>
      <c r="AD30" s="85">
        <f t="shared" si="12"/>
        <v>0</v>
      </c>
    </row>
    <row r="31" spans="2:30" s="71" customFormat="1" ht="15.75" customHeight="1" x14ac:dyDescent="0.25">
      <c r="B31" s="113"/>
      <c r="C31" s="83" t="s">
        <v>48</v>
      </c>
      <c r="D31" s="74">
        <v>8.9890000000000008</v>
      </c>
      <c r="E31" s="75">
        <v>4007</v>
      </c>
      <c r="F31" s="75">
        <f t="shared" si="7"/>
        <v>36018.923000000003</v>
      </c>
      <c r="G31" s="75">
        <v>35565</v>
      </c>
      <c r="H31" s="77"/>
      <c r="I31" s="77"/>
      <c r="J31" s="78"/>
      <c r="K31" s="78"/>
      <c r="L31" s="78"/>
      <c r="M31" s="78">
        <f t="shared" si="8"/>
        <v>35565</v>
      </c>
      <c r="N31" s="78">
        <f t="shared" si="9"/>
        <v>-453.9230000000025</v>
      </c>
      <c r="O31" s="78">
        <v>18046</v>
      </c>
      <c r="P31" s="77">
        <v>13834.6</v>
      </c>
      <c r="Q31" s="77">
        <v>4211.3</v>
      </c>
      <c r="R31" s="77"/>
      <c r="S31" s="77"/>
      <c r="T31" s="80">
        <v>-502.29709000000003</v>
      </c>
      <c r="U31" s="80">
        <v>-5.3933999999999997</v>
      </c>
      <c r="V31" s="81">
        <f t="shared" ref="V31:V40" si="14">T31+U31</f>
        <v>-507.69049000000001</v>
      </c>
      <c r="W31" s="82">
        <v>42</v>
      </c>
      <c r="X31" s="83"/>
      <c r="Y31" s="83">
        <v>42</v>
      </c>
      <c r="Z31" s="83"/>
      <c r="AA31" s="83"/>
      <c r="AB31" s="84">
        <f t="shared" si="11"/>
        <v>0</v>
      </c>
      <c r="AC31" s="116">
        <f t="shared" si="13"/>
        <v>42</v>
      </c>
      <c r="AD31" s="85">
        <f t="shared" si="12"/>
        <v>0</v>
      </c>
    </row>
    <row r="32" spans="2:30" s="71" customFormat="1" ht="15.75" customHeight="1" x14ac:dyDescent="0.25">
      <c r="B32" s="113"/>
      <c r="C32" s="83" t="s">
        <v>49</v>
      </c>
      <c r="D32" s="74">
        <v>5.2690000000000001</v>
      </c>
      <c r="E32" s="75">
        <v>6373.4</v>
      </c>
      <c r="F32" s="75">
        <f t="shared" si="7"/>
        <v>33581.444600000003</v>
      </c>
      <c r="G32" s="75">
        <v>33072.400000000001</v>
      </c>
      <c r="H32" s="77"/>
      <c r="I32" s="77"/>
      <c r="J32" s="78"/>
      <c r="K32" s="78"/>
      <c r="L32" s="78">
        <v>-39.988999999999997</v>
      </c>
      <c r="M32" s="78">
        <f t="shared" si="8"/>
        <v>33032.411</v>
      </c>
      <c r="N32" s="78">
        <f t="shared" si="9"/>
        <v>-549.03360000000248</v>
      </c>
      <c r="O32" s="78">
        <v>14444.6</v>
      </c>
      <c r="P32" s="77">
        <v>11094.4</v>
      </c>
      <c r="Q32" s="77">
        <v>3350.1</v>
      </c>
      <c r="R32" s="77">
        <f>-34.6</f>
        <v>-34.6</v>
      </c>
      <c r="S32" s="77"/>
      <c r="T32" s="80">
        <v>-473.35302000000001</v>
      </c>
      <c r="U32" s="80">
        <v>-3.1614</v>
      </c>
      <c r="V32" s="81">
        <f t="shared" si="14"/>
        <v>-476.51442000000003</v>
      </c>
      <c r="W32" s="82">
        <v>28</v>
      </c>
      <c r="X32" s="83"/>
      <c r="Y32" s="83">
        <v>28</v>
      </c>
      <c r="Z32" s="83"/>
      <c r="AA32" s="83"/>
      <c r="AB32" s="84">
        <f t="shared" si="11"/>
        <v>0</v>
      </c>
      <c r="AC32" s="116">
        <f t="shared" si="13"/>
        <v>28</v>
      </c>
      <c r="AD32" s="85">
        <f t="shared" si="12"/>
        <v>0</v>
      </c>
    </row>
    <row r="33" spans="1:30" s="71" customFormat="1" ht="15.75" customHeight="1" x14ac:dyDescent="0.25">
      <c r="B33" s="113"/>
      <c r="C33" s="83" t="s">
        <v>50</v>
      </c>
      <c r="D33" s="74">
        <v>22.713999999999999</v>
      </c>
      <c r="E33" s="75">
        <v>2283.5</v>
      </c>
      <c r="F33" s="75">
        <f t="shared" si="7"/>
        <v>51867.418999999994</v>
      </c>
      <c r="G33" s="75">
        <v>52043.5</v>
      </c>
      <c r="H33" s="77"/>
      <c r="I33" s="77"/>
      <c r="J33" s="78"/>
      <c r="K33" s="78"/>
      <c r="L33" s="78">
        <v>-831.9</v>
      </c>
      <c r="M33" s="78">
        <f t="shared" si="8"/>
        <v>51211.6</v>
      </c>
      <c r="N33" s="78">
        <f t="shared" si="9"/>
        <v>-655.81899999999587</v>
      </c>
      <c r="O33" s="78">
        <v>34589.199999999997</v>
      </c>
      <c r="P33" s="77">
        <v>26698.799999999999</v>
      </c>
      <c r="Q33" s="77">
        <v>7890.4</v>
      </c>
      <c r="R33" s="77">
        <v>-858.3</v>
      </c>
      <c r="S33" s="77"/>
      <c r="T33" s="80">
        <v>-555.86991</v>
      </c>
      <c r="U33" s="80">
        <v>-11.356999999999999</v>
      </c>
      <c r="V33" s="81">
        <f t="shared" si="14"/>
        <v>-567.22690999999998</v>
      </c>
      <c r="W33" s="82">
        <v>69</v>
      </c>
      <c r="X33" s="83"/>
      <c r="Y33" s="83">
        <v>60.5</v>
      </c>
      <c r="Z33" s="83"/>
      <c r="AA33" s="83">
        <v>-1.75</v>
      </c>
      <c r="AB33" s="84">
        <f>(Y33+AA33)-W33</f>
        <v>-10.25</v>
      </c>
      <c r="AC33" s="116">
        <f>Y33+AA33</f>
        <v>58.75</v>
      </c>
      <c r="AD33" s="85">
        <v>-10</v>
      </c>
    </row>
    <row r="34" spans="1:30" s="71" customFormat="1" ht="15.75" customHeight="1" x14ac:dyDescent="0.25">
      <c r="B34" s="113"/>
      <c r="C34" s="83" t="s">
        <v>51</v>
      </c>
      <c r="D34" s="74">
        <v>9.609</v>
      </c>
      <c r="E34" s="75">
        <v>4054.4</v>
      </c>
      <c r="F34" s="75">
        <f t="shared" si="7"/>
        <v>38958.729599999999</v>
      </c>
      <c r="G34" s="75">
        <v>35265.300000000003</v>
      </c>
      <c r="H34" s="77"/>
      <c r="I34" s="77"/>
      <c r="J34" s="78"/>
      <c r="K34" s="78"/>
      <c r="L34" s="78">
        <v>-350.6</v>
      </c>
      <c r="M34" s="78">
        <f t="shared" si="8"/>
        <v>34914.700000000004</v>
      </c>
      <c r="N34" s="78">
        <f t="shared" si="9"/>
        <v>-4044.0295999999944</v>
      </c>
      <c r="O34" s="78">
        <v>20879.900000000001</v>
      </c>
      <c r="P34" s="77">
        <v>16109.3</v>
      </c>
      <c r="Q34" s="77">
        <v>4770.5</v>
      </c>
      <c r="R34" s="77"/>
      <c r="S34" s="77"/>
      <c r="T34" s="80">
        <v>-504.42777000000001</v>
      </c>
      <c r="U34" s="80">
        <v>-5.7653999999999996</v>
      </c>
      <c r="V34" s="81">
        <f t="shared" si="14"/>
        <v>-510.19317000000001</v>
      </c>
      <c r="W34" s="82">
        <v>43</v>
      </c>
      <c r="X34" s="83"/>
      <c r="Y34" s="83">
        <v>43</v>
      </c>
      <c r="Z34" s="83"/>
      <c r="AA34" s="83"/>
      <c r="AB34" s="84">
        <f>(Y34+AA34)-W34</f>
        <v>0</v>
      </c>
      <c r="AC34" s="116">
        <f t="shared" si="13"/>
        <v>43</v>
      </c>
      <c r="AD34" s="85">
        <f t="shared" si="12"/>
        <v>0</v>
      </c>
    </row>
    <row r="35" spans="1:30" s="71" customFormat="1" ht="15.75" customHeight="1" x14ac:dyDescent="0.25">
      <c r="B35" s="113"/>
      <c r="C35" s="83" t="s">
        <v>52</v>
      </c>
      <c r="D35" s="74">
        <v>31.928999999999998</v>
      </c>
      <c r="E35" s="75">
        <v>2337.1</v>
      </c>
      <c r="F35" s="75">
        <f t="shared" si="7"/>
        <v>74621.265899999999</v>
      </c>
      <c r="G35" s="75">
        <v>66041.399999999994</v>
      </c>
      <c r="H35" s="77"/>
      <c r="I35" s="77"/>
      <c r="J35" s="78"/>
      <c r="K35" s="78"/>
      <c r="L35" s="78">
        <v>-487.5</v>
      </c>
      <c r="M35" s="78">
        <f t="shared" si="8"/>
        <v>65553.899999999994</v>
      </c>
      <c r="N35" s="78">
        <f t="shared" si="9"/>
        <v>-9067.3659000000043</v>
      </c>
      <c r="O35" s="78">
        <v>35178.5</v>
      </c>
      <c r="P35" s="77">
        <v>27079.200000000001</v>
      </c>
      <c r="Q35" s="77">
        <v>8099.4</v>
      </c>
      <c r="R35" s="77">
        <v>-600</v>
      </c>
      <c r="S35" s="77"/>
      <c r="T35" s="80">
        <v>-1130.2805499999999</v>
      </c>
      <c r="U35" s="80">
        <v>-15.964499999999999</v>
      </c>
      <c r="V35" s="81">
        <f>T35+U35</f>
        <v>-1146.24505</v>
      </c>
      <c r="W35" s="82">
        <v>73</v>
      </c>
      <c r="X35" s="83"/>
      <c r="Y35" s="83">
        <v>69</v>
      </c>
      <c r="Z35" s="83"/>
      <c r="AA35" s="83"/>
      <c r="AB35" s="84">
        <f t="shared" si="11"/>
        <v>-4</v>
      </c>
      <c r="AC35" s="116">
        <f t="shared" si="13"/>
        <v>69</v>
      </c>
      <c r="AD35" s="85">
        <f t="shared" si="12"/>
        <v>-4</v>
      </c>
    </row>
    <row r="36" spans="1:30" s="71" customFormat="1" ht="15.75" customHeight="1" x14ac:dyDescent="0.25">
      <c r="B36" s="113"/>
      <c r="C36" s="83" t="s">
        <v>53</v>
      </c>
      <c r="D36" s="74">
        <v>9.9580000000000002</v>
      </c>
      <c r="E36" s="75">
        <v>4085.8</v>
      </c>
      <c r="F36" s="75">
        <f t="shared" si="7"/>
        <v>40686.396400000005</v>
      </c>
      <c r="G36" s="75">
        <v>40478.400000000001</v>
      </c>
      <c r="H36" s="77"/>
      <c r="I36" s="77"/>
      <c r="J36" s="78"/>
      <c r="K36" s="78"/>
      <c r="L36" s="78">
        <v>0</v>
      </c>
      <c r="M36" s="78">
        <f t="shared" si="8"/>
        <v>40478.400000000001</v>
      </c>
      <c r="N36" s="78">
        <f t="shared" si="9"/>
        <v>-207.99640000000363</v>
      </c>
      <c r="O36" s="78">
        <v>19304.099999999999</v>
      </c>
      <c r="P36" s="77">
        <v>14852.5</v>
      </c>
      <c r="Q36" s="77">
        <v>4451.6000000000004</v>
      </c>
      <c r="R36" s="77"/>
      <c r="S36" s="77"/>
      <c r="T36" s="80">
        <v>-505.62713000000002</v>
      </c>
      <c r="U36" s="80">
        <v>-5.9748000000000001</v>
      </c>
      <c r="V36" s="81">
        <f t="shared" si="14"/>
        <v>-511.60193000000004</v>
      </c>
      <c r="W36" s="82">
        <v>45</v>
      </c>
      <c r="X36" s="120"/>
      <c r="Y36" s="116">
        <v>45</v>
      </c>
      <c r="Z36" s="120"/>
      <c r="AA36" s="120"/>
      <c r="AB36" s="84">
        <f t="shared" si="11"/>
        <v>0</v>
      </c>
      <c r="AC36" s="116">
        <f t="shared" si="13"/>
        <v>45</v>
      </c>
      <c r="AD36" s="85">
        <f t="shared" si="12"/>
        <v>0</v>
      </c>
    </row>
    <row r="37" spans="1:30" s="71" customFormat="1" ht="15.75" customHeight="1" x14ac:dyDescent="0.25">
      <c r="B37" s="113"/>
      <c r="C37" s="121" t="s">
        <v>54</v>
      </c>
      <c r="D37" s="74">
        <v>10.284000000000001</v>
      </c>
      <c r="E37" s="75">
        <v>3219.2</v>
      </c>
      <c r="F37" s="75">
        <f t="shared" si="7"/>
        <v>33106.252800000002</v>
      </c>
      <c r="G37" s="75">
        <v>33180.699999999997</v>
      </c>
      <c r="H37" s="77"/>
      <c r="I37" s="77"/>
      <c r="J37" s="78"/>
      <c r="K37" s="78"/>
      <c r="L37" s="78">
        <v>-74.400000000000006</v>
      </c>
      <c r="M37" s="78">
        <f t="shared" si="8"/>
        <v>33106.299999999996</v>
      </c>
      <c r="N37" s="78">
        <f t="shared" si="9"/>
        <v>4.7199999993608799E-2</v>
      </c>
      <c r="O37" s="78">
        <v>19444.900000000001</v>
      </c>
      <c r="P37" s="77">
        <v>15062.2</v>
      </c>
      <c r="Q37" s="77">
        <v>4382.7</v>
      </c>
      <c r="R37" s="77">
        <v>-10</v>
      </c>
      <c r="S37" s="77"/>
      <c r="T37" s="80">
        <v>-506.74745999999999</v>
      </c>
      <c r="U37" s="80">
        <v>-6.1703999999999999</v>
      </c>
      <c r="V37" s="81">
        <f t="shared" si="14"/>
        <v>-512.91786000000002</v>
      </c>
      <c r="W37" s="82">
        <v>38</v>
      </c>
      <c r="X37" s="83"/>
      <c r="Y37" s="83">
        <v>38</v>
      </c>
      <c r="Z37" s="83"/>
      <c r="AA37" s="83">
        <v>-0.1</v>
      </c>
      <c r="AB37" s="84">
        <f>(Y37+AA37)-W37</f>
        <v>-0.10000000000000142</v>
      </c>
      <c r="AC37" s="116">
        <f>Y37+AA37</f>
        <v>37.9</v>
      </c>
      <c r="AD37" s="85">
        <v>0</v>
      </c>
    </row>
    <row r="38" spans="1:30" s="71" customFormat="1" ht="15.75" customHeight="1" x14ac:dyDescent="0.25">
      <c r="B38" s="113"/>
      <c r="C38" s="73" t="s">
        <v>55</v>
      </c>
      <c r="D38" s="74">
        <v>20.050999999999998</v>
      </c>
      <c r="E38" s="75">
        <v>2450.6</v>
      </c>
      <c r="F38" s="75">
        <f t="shared" si="7"/>
        <v>49136.980599999995</v>
      </c>
      <c r="G38" s="75">
        <v>46445.4</v>
      </c>
      <c r="H38" s="77"/>
      <c r="I38" s="77"/>
      <c r="J38" s="78"/>
      <c r="K38" s="78"/>
      <c r="L38" s="78">
        <v>-468.2</v>
      </c>
      <c r="M38" s="78">
        <f t="shared" si="8"/>
        <v>45977.200000000004</v>
      </c>
      <c r="N38" s="78">
        <f t="shared" si="9"/>
        <v>-3159.780599999991</v>
      </c>
      <c r="O38" s="78">
        <v>25413.4</v>
      </c>
      <c r="P38" s="77">
        <v>19398.2</v>
      </c>
      <c r="Q38" s="77">
        <v>6015.1</v>
      </c>
      <c r="R38" s="77"/>
      <c r="S38" s="77"/>
      <c r="T38" s="80">
        <v>-546.7183</v>
      </c>
      <c r="U38" s="80">
        <v>-10.025499999999999</v>
      </c>
      <c r="V38" s="81">
        <f t="shared" si="14"/>
        <v>-556.74379999999996</v>
      </c>
      <c r="W38" s="82">
        <v>48</v>
      </c>
      <c r="X38" s="83"/>
      <c r="Y38" s="83">
        <v>48</v>
      </c>
      <c r="Z38" s="83"/>
      <c r="AA38" s="83"/>
      <c r="AB38" s="84">
        <f t="shared" si="11"/>
        <v>0</v>
      </c>
      <c r="AC38" s="116">
        <f t="shared" si="13"/>
        <v>48</v>
      </c>
      <c r="AD38" s="85">
        <f t="shared" si="12"/>
        <v>0</v>
      </c>
    </row>
    <row r="39" spans="1:30" s="71" customFormat="1" ht="15.75" customHeight="1" x14ac:dyDescent="0.25">
      <c r="B39" s="113"/>
      <c r="C39" s="83" t="s">
        <v>56</v>
      </c>
      <c r="D39" s="74">
        <v>21.678000000000001</v>
      </c>
      <c r="E39" s="75">
        <v>2916.9</v>
      </c>
      <c r="F39" s="75">
        <f t="shared" si="7"/>
        <v>63232.558200000007</v>
      </c>
      <c r="G39" s="75">
        <v>63544</v>
      </c>
      <c r="H39" s="77"/>
      <c r="I39" s="77"/>
      <c r="J39" s="78"/>
      <c r="K39" s="78"/>
      <c r="L39" s="78">
        <v>-512.1</v>
      </c>
      <c r="M39" s="78">
        <f t="shared" si="8"/>
        <v>63031.9</v>
      </c>
      <c r="N39" s="78">
        <f t="shared" si="9"/>
        <v>-200.65820000000531</v>
      </c>
      <c r="O39" s="78">
        <v>28301.9</v>
      </c>
      <c r="P39" s="77">
        <v>21737.599999999999</v>
      </c>
      <c r="Q39" s="77">
        <v>6564.3</v>
      </c>
      <c r="R39" s="77"/>
      <c r="S39" s="77"/>
      <c r="T39" s="80">
        <v>-552.30961000000002</v>
      </c>
      <c r="U39" s="80">
        <v>-10.839</v>
      </c>
      <c r="V39" s="81">
        <f t="shared" si="14"/>
        <v>-563.14861000000008</v>
      </c>
      <c r="W39" s="82">
        <v>63</v>
      </c>
      <c r="X39" s="120"/>
      <c r="Y39" s="122">
        <v>63.5</v>
      </c>
      <c r="Z39" s="120"/>
      <c r="AA39" s="120">
        <v>-0.5</v>
      </c>
      <c r="AB39" s="84">
        <f t="shared" si="11"/>
        <v>0</v>
      </c>
      <c r="AC39" s="116">
        <f t="shared" si="13"/>
        <v>63</v>
      </c>
      <c r="AD39" s="85">
        <f t="shared" si="12"/>
        <v>0</v>
      </c>
    </row>
    <row r="40" spans="1:30" s="71" customFormat="1" ht="15.75" customHeight="1" thickBot="1" x14ac:dyDescent="0.3">
      <c r="B40" s="89"/>
      <c r="C40" s="123" t="s">
        <v>57</v>
      </c>
      <c r="D40" s="91">
        <v>12.093999999999999</v>
      </c>
      <c r="E40" s="92">
        <v>3121.3</v>
      </c>
      <c r="F40" s="92">
        <f t="shared" si="7"/>
        <v>37749.002200000003</v>
      </c>
      <c r="G40" s="92">
        <v>38251.519999999997</v>
      </c>
      <c r="H40" s="93"/>
      <c r="I40" s="93"/>
      <c r="J40" s="94"/>
      <c r="K40" s="94"/>
      <c r="L40" s="94">
        <f>791.3-502.5</f>
        <v>288.79999999999995</v>
      </c>
      <c r="M40" s="94">
        <f t="shared" si="8"/>
        <v>38540.32</v>
      </c>
      <c r="N40" s="124">
        <f t="shared" si="9"/>
        <v>791.31779999999708</v>
      </c>
      <c r="O40" s="94">
        <v>18978.7</v>
      </c>
      <c r="P40" s="93">
        <v>14535.6</v>
      </c>
      <c r="Q40" s="93">
        <v>4443.1000000000004</v>
      </c>
      <c r="R40" s="92">
        <v>231.4</v>
      </c>
      <c r="S40" s="93"/>
      <c r="T40" s="96">
        <v>-512.96767</v>
      </c>
      <c r="U40" s="96">
        <v>-7.2564000000000002</v>
      </c>
      <c r="V40" s="97">
        <f t="shared" si="14"/>
        <v>-520.22406999999998</v>
      </c>
      <c r="W40" s="98">
        <v>54</v>
      </c>
      <c r="X40" s="99"/>
      <c r="Y40" s="99">
        <v>40</v>
      </c>
      <c r="Z40" s="99"/>
      <c r="AA40" s="99">
        <v>1</v>
      </c>
      <c r="AB40" s="100">
        <f t="shared" si="11"/>
        <v>-13</v>
      </c>
      <c r="AC40" s="125">
        <f>Y40+AA40</f>
        <v>41</v>
      </c>
      <c r="AD40" s="101">
        <f t="shared" si="12"/>
        <v>-13</v>
      </c>
    </row>
    <row r="41" spans="1:30" ht="36" customHeight="1" thickBot="1" x14ac:dyDescent="0.3">
      <c r="A41" s="126"/>
      <c r="B41" s="127"/>
      <c r="C41" s="128" t="s">
        <v>58</v>
      </c>
      <c r="D41" s="129"/>
      <c r="E41" s="130"/>
      <c r="F41" s="130"/>
      <c r="G41" s="131"/>
      <c r="H41" s="132"/>
      <c r="I41" s="132"/>
      <c r="J41" s="133"/>
      <c r="K41" s="133"/>
      <c r="L41" s="133"/>
      <c r="M41" s="133"/>
      <c r="N41" s="133"/>
      <c r="O41" s="132"/>
      <c r="P41" s="132"/>
      <c r="Q41" s="132"/>
      <c r="R41" s="132"/>
      <c r="S41" s="134"/>
      <c r="T41" s="135">
        <f>SUM(T11:T40)</f>
        <v>-26989.560010000001</v>
      </c>
      <c r="U41" s="135">
        <f>SUM(U11:U40)</f>
        <v>-392.85044999999991</v>
      </c>
      <c r="V41" s="136"/>
      <c r="W41" s="137"/>
      <c r="X41" s="138"/>
      <c r="Y41" s="138"/>
      <c r="Z41" s="138"/>
      <c r="AA41" s="138"/>
      <c r="AB41" s="138"/>
      <c r="AC41" s="138"/>
      <c r="AD41" s="132"/>
    </row>
    <row r="42" spans="1:30" ht="15" customHeight="1" x14ac:dyDescent="0.25">
      <c r="A42" s="126"/>
      <c r="B42" s="139" t="s">
        <v>37</v>
      </c>
      <c r="C42" s="66" t="s">
        <v>59</v>
      </c>
      <c r="D42" s="103">
        <v>32.466999999999999</v>
      </c>
      <c r="E42" s="104">
        <v>63.4</v>
      </c>
      <c r="F42" s="104">
        <f t="shared" ref="F42:F47" si="15">E42*D42</f>
        <v>2058.4078</v>
      </c>
      <c r="G42" s="140"/>
      <c r="H42" s="141"/>
      <c r="I42" s="141"/>
      <c r="J42" s="106"/>
      <c r="K42" s="106"/>
      <c r="L42" s="106">
        <v>0.1</v>
      </c>
      <c r="M42" s="106">
        <f t="shared" ref="M42:M47" si="16">G42+L42</f>
        <v>0.1</v>
      </c>
      <c r="N42" s="106">
        <f t="shared" ref="N42:N47" si="17">M42-F42</f>
        <v>-2058.3078</v>
      </c>
      <c r="O42" s="106"/>
      <c r="P42" s="141"/>
      <c r="Q42" s="141"/>
      <c r="R42" s="141"/>
      <c r="S42" s="107"/>
      <c r="T42" s="141"/>
      <c r="U42" s="141"/>
      <c r="V42" s="142">
        <f t="shared" ref="V42:V47" si="18">T42+U42</f>
        <v>0</v>
      </c>
      <c r="W42" s="110">
        <v>2</v>
      </c>
      <c r="X42" s="66"/>
      <c r="Y42" s="66"/>
      <c r="Z42" s="66"/>
      <c r="AA42" s="66"/>
      <c r="AB42" s="111">
        <f t="shared" ref="AB42:AB47" si="19">(Y42+AA42)-W42</f>
        <v>-2</v>
      </c>
      <c r="AC42" s="143">
        <f t="shared" si="5"/>
        <v>0</v>
      </c>
      <c r="AD42" s="112">
        <f t="shared" si="6"/>
        <v>-2</v>
      </c>
    </row>
    <row r="43" spans="1:30" ht="15" customHeight="1" x14ac:dyDescent="0.25">
      <c r="A43" s="126"/>
      <c r="B43" s="144"/>
      <c r="C43" s="115" t="s">
        <v>60</v>
      </c>
      <c r="D43" s="74">
        <v>1.29</v>
      </c>
      <c r="E43" s="75">
        <v>2514.3000000000002</v>
      </c>
      <c r="F43" s="75">
        <f t="shared" si="15"/>
        <v>3243.4470000000001</v>
      </c>
      <c r="G43" s="145">
        <v>2648</v>
      </c>
      <c r="H43" s="146"/>
      <c r="I43" s="146"/>
      <c r="J43" s="78"/>
      <c r="K43" s="78"/>
      <c r="L43" s="78">
        <v>0.7</v>
      </c>
      <c r="M43" s="78">
        <f t="shared" si="16"/>
        <v>2648.7</v>
      </c>
      <c r="N43" s="78">
        <f t="shared" si="17"/>
        <v>-594.7470000000003</v>
      </c>
      <c r="O43" s="78">
        <v>699.7</v>
      </c>
      <c r="P43" s="115">
        <v>537.4</v>
      </c>
      <c r="Q43" s="115">
        <v>162.30000000000001</v>
      </c>
      <c r="R43" s="115"/>
      <c r="S43" s="79">
        <f>O43+R43</f>
        <v>699.7</v>
      </c>
      <c r="T43" s="115"/>
      <c r="U43" s="115"/>
      <c r="V43" s="147">
        <f t="shared" si="18"/>
        <v>0</v>
      </c>
      <c r="W43" s="82">
        <v>4</v>
      </c>
      <c r="X43" s="83"/>
      <c r="Y43" s="83">
        <v>2</v>
      </c>
      <c r="Z43" s="83"/>
      <c r="AA43" s="83"/>
      <c r="AB43" s="84">
        <f t="shared" si="19"/>
        <v>-2</v>
      </c>
      <c r="AC43" s="122">
        <f t="shared" si="5"/>
        <v>2</v>
      </c>
      <c r="AD43" s="85">
        <f t="shared" si="6"/>
        <v>-2</v>
      </c>
    </row>
    <row r="44" spans="1:30" ht="15" customHeight="1" x14ac:dyDescent="0.25">
      <c r="A44" s="126"/>
      <c r="B44" s="144"/>
      <c r="C44" s="115" t="s">
        <v>61</v>
      </c>
      <c r="D44" s="74">
        <v>1.607</v>
      </c>
      <c r="E44" s="75">
        <v>2551.6999999999998</v>
      </c>
      <c r="F44" s="75">
        <f t="shared" si="15"/>
        <v>4100.5818999999992</v>
      </c>
      <c r="G44" s="148">
        <v>4084.4</v>
      </c>
      <c r="H44" s="115"/>
      <c r="I44" s="115"/>
      <c r="J44" s="78"/>
      <c r="K44" s="78"/>
      <c r="L44" s="78">
        <v>0.7</v>
      </c>
      <c r="M44" s="78">
        <f t="shared" si="16"/>
        <v>4085.1</v>
      </c>
      <c r="N44" s="78">
        <f t="shared" si="17"/>
        <v>-15.481899999999314</v>
      </c>
      <c r="O44" s="78">
        <v>643.20000000000005</v>
      </c>
      <c r="P44" s="115">
        <v>494.9</v>
      </c>
      <c r="Q44" s="115">
        <v>148.30000000000001</v>
      </c>
      <c r="R44" s="115"/>
      <c r="S44" s="79">
        <f t="shared" ref="S44:S47" si="20">O44+R44</f>
        <v>643.20000000000005</v>
      </c>
      <c r="T44" s="115"/>
      <c r="U44" s="115"/>
      <c r="V44" s="147">
        <f t="shared" si="18"/>
        <v>0</v>
      </c>
      <c r="W44" s="82">
        <v>4</v>
      </c>
      <c r="X44" s="83"/>
      <c r="Y44" s="83">
        <v>2</v>
      </c>
      <c r="Z44" s="83"/>
      <c r="AA44" s="83"/>
      <c r="AB44" s="84">
        <f t="shared" si="19"/>
        <v>-2</v>
      </c>
      <c r="AC44" s="122">
        <f t="shared" si="5"/>
        <v>2</v>
      </c>
      <c r="AD44" s="85">
        <f t="shared" si="6"/>
        <v>-2</v>
      </c>
    </row>
    <row r="45" spans="1:30" ht="15" customHeight="1" x14ac:dyDescent="0.25">
      <c r="A45" s="126"/>
      <c r="B45" s="144"/>
      <c r="C45" s="115" t="s">
        <v>62</v>
      </c>
      <c r="D45" s="74">
        <v>0.90900000000000003</v>
      </c>
      <c r="E45" s="75">
        <v>2355.9</v>
      </c>
      <c r="F45" s="75">
        <f t="shared" si="15"/>
        <v>2141.5131000000001</v>
      </c>
      <c r="G45" s="148">
        <v>2130.6</v>
      </c>
      <c r="H45" s="115"/>
      <c r="I45" s="115"/>
      <c r="J45" s="78"/>
      <c r="K45" s="78"/>
      <c r="L45" s="78">
        <v>0.7</v>
      </c>
      <c r="M45" s="78">
        <f t="shared" si="16"/>
        <v>2131.2999999999997</v>
      </c>
      <c r="N45" s="78">
        <f t="shared" si="17"/>
        <v>-10.213100000000395</v>
      </c>
      <c r="O45" s="78">
        <v>1015.9</v>
      </c>
      <c r="P45" s="115">
        <v>780.2</v>
      </c>
      <c r="Q45" s="115">
        <v>235.6</v>
      </c>
      <c r="R45" s="115"/>
      <c r="S45" s="79">
        <f t="shared" si="20"/>
        <v>1015.9</v>
      </c>
      <c r="T45" s="115"/>
      <c r="U45" s="115"/>
      <c r="V45" s="147">
        <f t="shared" si="18"/>
        <v>0</v>
      </c>
      <c r="W45" s="82">
        <v>4</v>
      </c>
      <c r="X45" s="83"/>
      <c r="Y45" s="83">
        <v>2</v>
      </c>
      <c r="Z45" s="83"/>
      <c r="AA45" s="83"/>
      <c r="AB45" s="84">
        <f t="shared" si="19"/>
        <v>-2</v>
      </c>
      <c r="AC45" s="122">
        <f t="shared" si="5"/>
        <v>2</v>
      </c>
      <c r="AD45" s="85">
        <f t="shared" si="6"/>
        <v>-2</v>
      </c>
    </row>
    <row r="46" spans="1:30" ht="15" customHeight="1" x14ac:dyDescent="0.25">
      <c r="A46" s="126"/>
      <c r="B46" s="144"/>
      <c r="C46" s="115" t="s">
        <v>63</v>
      </c>
      <c r="D46" s="74">
        <v>1.17</v>
      </c>
      <c r="E46" s="75">
        <v>3542.7</v>
      </c>
      <c r="F46" s="75">
        <f t="shared" si="15"/>
        <v>4144.9589999999998</v>
      </c>
      <c r="G46" s="148">
        <v>3704.6</v>
      </c>
      <c r="H46" s="115"/>
      <c r="I46" s="115"/>
      <c r="J46" s="78"/>
      <c r="K46" s="78"/>
      <c r="L46" s="78">
        <v>0.7</v>
      </c>
      <c r="M46" s="78">
        <f t="shared" si="16"/>
        <v>3705.2999999999997</v>
      </c>
      <c r="N46" s="78">
        <f t="shared" si="17"/>
        <v>-439.65900000000011</v>
      </c>
      <c r="O46" s="78">
        <v>1033.3</v>
      </c>
      <c r="P46" s="115">
        <v>793.7</v>
      </c>
      <c r="Q46" s="115">
        <v>239.7</v>
      </c>
      <c r="R46" s="115"/>
      <c r="S46" s="79">
        <f t="shared" si="20"/>
        <v>1033.3</v>
      </c>
      <c r="T46" s="115"/>
      <c r="U46" s="115"/>
      <c r="V46" s="147">
        <f t="shared" si="18"/>
        <v>0</v>
      </c>
      <c r="W46" s="82">
        <v>4</v>
      </c>
      <c r="X46" s="83"/>
      <c r="Y46" s="83">
        <v>2</v>
      </c>
      <c r="Z46" s="83"/>
      <c r="AA46" s="83"/>
      <c r="AB46" s="84">
        <f t="shared" si="19"/>
        <v>-2</v>
      </c>
      <c r="AC46" s="122">
        <f t="shared" si="5"/>
        <v>2</v>
      </c>
      <c r="AD46" s="85">
        <f t="shared" si="6"/>
        <v>-2</v>
      </c>
    </row>
    <row r="47" spans="1:30" ht="15" customHeight="1" x14ac:dyDescent="0.25">
      <c r="A47" s="126"/>
      <c r="B47" s="144"/>
      <c r="C47" s="115" t="s">
        <v>64</v>
      </c>
      <c r="D47" s="74">
        <v>0.96299999999999997</v>
      </c>
      <c r="E47" s="75">
        <v>2604.1</v>
      </c>
      <c r="F47" s="75">
        <f t="shared" si="15"/>
        <v>2507.7482999999997</v>
      </c>
      <c r="G47" s="148">
        <v>2459.5</v>
      </c>
      <c r="H47" s="115"/>
      <c r="I47" s="115"/>
      <c r="J47" s="78"/>
      <c r="K47" s="78"/>
      <c r="L47" s="78">
        <v>0.7</v>
      </c>
      <c r="M47" s="78">
        <f t="shared" si="16"/>
        <v>2460.1999999999998</v>
      </c>
      <c r="N47" s="78">
        <f t="shared" si="17"/>
        <v>-47.548299999999927</v>
      </c>
      <c r="O47" s="78">
        <v>576.9</v>
      </c>
      <c r="P47" s="115">
        <v>443.1</v>
      </c>
      <c r="Q47" s="115">
        <v>133.80000000000001</v>
      </c>
      <c r="R47" s="115"/>
      <c r="S47" s="79">
        <f t="shared" si="20"/>
        <v>576.9</v>
      </c>
      <c r="T47" s="115"/>
      <c r="U47" s="115"/>
      <c r="V47" s="147">
        <f t="shared" si="18"/>
        <v>0</v>
      </c>
      <c r="W47" s="82">
        <v>4</v>
      </c>
      <c r="X47" s="83"/>
      <c r="Y47" s="83">
        <v>2</v>
      </c>
      <c r="Z47" s="83"/>
      <c r="AA47" s="83"/>
      <c r="AB47" s="84">
        <f t="shared" si="19"/>
        <v>-2</v>
      </c>
      <c r="AC47" s="122">
        <f t="shared" si="5"/>
        <v>2</v>
      </c>
      <c r="AD47" s="85">
        <f t="shared" si="6"/>
        <v>-2</v>
      </c>
    </row>
    <row r="48" spans="1:30" ht="15" customHeight="1" thickBot="1" x14ac:dyDescent="0.3">
      <c r="A48" s="126"/>
      <c r="B48" s="149"/>
      <c r="C48" s="99" t="s">
        <v>65</v>
      </c>
      <c r="D48" s="150"/>
      <c r="E48" s="92"/>
      <c r="F48" s="92"/>
      <c r="G48" s="151">
        <f t="shared" ref="G48" si="21">ROUND(SUM(G42:G47),3)</f>
        <v>15027.1</v>
      </c>
      <c r="H48" s="151">
        <f t="shared" ref="H48:I48" si="22">ROUND(SUM(H42:H47),3)</f>
        <v>0</v>
      </c>
      <c r="I48" s="151">
        <f t="shared" si="22"/>
        <v>0</v>
      </c>
      <c r="J48" s="151">
        <f>ROUND(SUM(J42:J47),3)</f>
        <v>0</v>
      </c>
      <c r="K48" s="151"/>
      <c r="L48" s="151">
        <f t="shared" ref="L48:V48" si="23">ROUND(SUM(L42:L47),3)</f>
        <v>3.6</v>
      </c>
      <c r="M48" s="151">
        <f t="shared" si="23"/>
        <v>15030.7</v>
      </c>
      <c r="N48" s="151"/>
      <c r="O48" s="151">
        <f>ROUND(SUM(O42:O47),3)</f>
        <v>3969</v>
      </c>
      <c r="P48" s="151">
        <f t="shared" ref="P48:S48" si="24">ROUND(SUM(P42:P47),3)</f>
        <v>3049.3</v>
      </c>
      <c r="Q48" s="151">
        <f t="shared" si="24"/>
        <v>919.7</v>
      </c>
      <c r="R48" s="151">
        <f t="shared" si="24"/>
        <v>0</v>
      </c>
      <c r="S48" s="151">
        <f t="shared" si="24"/>
        <v>3969</v>
      </c>
      <c r="T48" s="151">
        <f t="shared" si="23"/>
        <v>0</v>
      </c>
      <c r="U48" s="151">
        <f t="shared" si="23"/>
        <v>0</v>
      </c>
      <c r="V48" s="152">
        <f t="shared" si="23"/>
        <v>0</v>
      </c>
      <c r="W48" s="153"/>
      <c r="X48" s="153">
        <f t="shared" ref="X48:AB48" si="25">ROUND(SUM(X42:X47),3)</f>
        <v>0</v>
      </c>
      <c r="Y48" s="153">
        <f t="shared" si="25"/>
        <v>10</v>
      </c>
      <c r="Z48" s="153">
        <f t="shared" si="25"/>
        <v>0</v>
      </c>
      <c r="AA48" s="153">
        <f t="shared" si="25"/>
        <v>0</v>
      </c>
      <c r="AB48" s="153">
        <f t="shared" si="25"/>
        <v>-12</v>
      </c>
      <c r="AC48" s="154">
        <f>Y48+AA48</f>
        <v>10</v>
      </c>
      <c r="AD48" s="101"/>
    </row>
    <row r="49" spans="1:30" ht="15.75" x14ac:dyDescent="0.25">
      <c r="B49" s="139" t="s">
        <v>38</v>
      </c>
      <c r="C49" s="66" t="s">
        <v>66</v>
      </c>
      <c r="D49" s="103">
        <v>2.0099999999999998</v>
      </c>
      <c r="E49" s="104">
        <v>245.2</v>
      </c>
      <c r="F49" s="104">
        <f t="shared" ref="F49:F52" si="26">E49*D49</f>
        <v>492.85199999999992</v>
      </c>
      <c r="G49" s="140"/>
      <c r="H49" s="141"/>
      <c r="I49" s="141"/>
      <c r="J49" s="106"/>
      <c r="K49" s="106"/>
      <c r="L49" s="106">
        <v>149.1</v>
      </c>
      <c r="M49" s="106">
        <f>G49+L49</f>
        <v>149.1</v>
      </c>
      <c r="N49" s="106">
        <f>M49-F49</f>
        <v>-343.75199999999995</v>
      </c>
      <c r="O49" s="106"/>
      <c r="P49" s="141"/>
      <c r="Q49" s="141"/>
      <c r="R49" s="141"/>
      <c r="S49" s="155"/>
      <c r="T49" s="141"/>
      <c r="U49" s="141"/>
      <c r="V49" s="142">
        <f>T49+U49</f>
        <v>0</v>
      </c>
      <c r="W49" s="110">
        <v>0</v>
      </c>
      <c r="X49" s="66"/>
      <c r="Y49" s="66">
        <v>0</v>
      </c>
      <c r="Z49" s="66"/>
      <c r="AA49" s="66">
        <v>0</v>
      </c>
      <c r="AB49" s="111">
        <f t="shared" ref="AB49:AB52" si="27">(Y49+AA49)-W49</f>
        <v>0</v>
      </c>
      <c r="AC49" s="143">
        <f t="shared" si="5"/>
        <v>0</v>
      </c>
      <c r="AD49" s="112">
        <f t="shared" si="6"/>
        <v>0</v>
      </c>
    </row>
    <row r="50" spans="1:30" ht="15.75" x14ac:dyDescent="0.25">
      <c r="B50" s="144"/>
      <c r="C50" s="83" t="s">
        <v>67</v>
      </c>
      <c r="D50" s="74">
        <v>0.42399999999999999</v>
      </c>
      <c r="E50" s="75">
        <v>3844.1</v>
      </c>
      <c r="F50" s="75">
        <f t="shared" si="26"/>
        <v>1629.8983999999998</v>
      </c>
      <c r="G50" s="148">
        <v>1494.3</v>
      </c>
      <c r="H50" s="115"/>
      <c r="I50" s="115"/>
      <c r="J50" s="78"/>
      <c r="K50" s="78"/>
      <c r="L50" s="78">
        <v>25</v>
      </c>
      <c r="M50" s="78">
        <f>G50+L50</f>
        <v>1519.3</v>
      </c>
      <c r="N50" s="78">
        <f>M50-F50</f>
        <v>-110.59839999999986</v>
      </c>
      <c r="O50" s="78">
        <v>651.70000000000005</v>
      </c>
      <c r="P50" s="115">
        <v>501.5</v>
      </c>
      <c r="Q50" s="115">
        <v>150.19999999999999</v>
      </c>
      <c r="R50" s="115"/>
      <c r="S50" s="79">
        <f t="shared" ref="S50:S52" si="28">O50+R50</f>
        <v>651.70000000000005</v>
      </c>
      <c r="T50" s="115"/>
      <c r="U50" s="115"/>
      <c r="V50" s="147">
        <f>T50+U50</f>
        <v>0</v>
      </c>
      <c r="W50" s="82">
        <v>3</v>
      </c>
      <c r="X50" s="83"/>
      <c r="Y50" s="83">
        <v>1</v>
      </c>
      <c r="Z50" s="83"/>
      <c r="AA50" s="83"/>
      <c r="AB50" s="84">
        <f t="shared" si="27"/>
        <v>-2</v>
      </c>
      <c r="AC50" s="122">
        <f t="shared" si="5"/>
        <v>1</v>
      </c>
      <c r="AD50" s="85">
        <f t="shared" si="6"/>
        <v>-2</v>
      </c>
    </row>
    <row r="51" spans="1:30" ht="15.75" x14ac:dyDescent="0.25">
      <c r="B51" s="144"/>
      <c r="C51" s="83" t="s">
        <v>68</v>
      </c>
      <c r="D51" s="74">
        <v>1.2629999999999999</v>
      </c>
      <c r="E51" s="75">
        <v>3125.1</v>
      </c>
      <c r="F51" s="75">
        <f t="shared" si="26"/>
        <v>3947.0012999999994</v>
      </c>
      <c r="G51" s="148">
        <v>3793.3</v>
      </c>
      <c r="H51" s="115"/>
      <c r="I51" s="115"/>
      <c r="J51" s="78"/>
      <c r="K51" s="78"/>
      <c r="L51" s="78">
        <v>149.1</v>
      </c>
      <c r="M51" s="78">
        <f>G51+L51</f>
        <v>3942.4</v>
      </c>
      <c r="N51" s="78">
        <f>M51-F51</f>
        <v>-4.6012999999993554</v>
      </c>
      <c r="O51" s="78">
        <v>1573.7</v>
      </c>
      <c r="P51" s="115">
        <v>1209.5999999999999</v>
      </c>
      <c r="Q51" s="115">
        <v>364.1</v>
      </c>
      <c r="R51" s="115"/>
      <c r="S51" s="79">
        <f t="shared" si="28"/>
        <v>1573.7</v>
      </c>
      <c r="T51" s="115"/>
      <c r="U51" s="115"/>
      <c r="V51" s="147">
        <f>T51+U51</f>
        <v>0</v>
      </c>
      <c r="W51" s="82">
        <v>4</v>
      </c>
      <c r="X51" s="83"/>
      <c r="Y51" s="83">
        <v>4</v>
      </c>
      <c r="Z51" s="83"/>
      <c r="AA51" s="83"/>
      <c r="AB51" s="84">
        <f t="shared" si="27"/>
        <v>0</v>
      </c>
      <c r="AC51" s="122">
        <f t="shared" si="5"/>
        <v>4</v>
      </c>
      <c r="AD51" s="85">
        <f t="shared" si="6"/>
        <v>0</v>
      </c>
    </row>
    <row r="52" spans="1:30" ht="15.75" x14ac:dyDescent="0.25">
      <c r="B52" s="144"/>
      <c r="C52" s="83" t="s">
        <v>69</v>
      </c>
      <c r="D52" s="74">
        <v>0.377</v>
      </c>
      <c r="E52" s="75">
        <v>3871.3</v>
      </c>
      <c r="F52" s="75">
        <f t="shared" si="26"/>
        <v>1459.4801</v>
      </c>
      <c r="G52" s="148">
        <v>1315</v>
      </c>
      <c r="H52" s="115"/>
      <c r="I52" s="115"/>
      <c r="J52" s="78"/>
      <c r="K52" s="78"/>
      <c r="L52" s="78">
        <v>25</v>
      </c>
      <c r="M52" s="78">
        <f>G52+L52</f>
        <v>1340</v>
      </c>
      <c r="N52" s="78">
        <f>M52-F52</f>
        <v>-119.48009999999999</v>
      </c>
      <c r="O52" s="78">
        <v>912.2</v>
      </c>
      <c r="P52" s="115">
        <v>703.2</v>
      </c>
      <c r="Q52" s="115">
        <v>209</v>
      </c>
      <c r="R52" s="115"/>
      <c r="S52" s="79">
        <f t="shared" si="28"/>
        <v>912.2</v>
      </c>
      <c r="T52" s="115"/>
      <c r="U52" s="115"/>
      <c r="V52" s="147">
        <f>T52+U52</f>
        <v>0</v>
      </c>
      <c r="W52" s="82">
        <v>3</v>
      </c>
      <c r="X52" s="83"/>
      <c r="Y52" s="83">
        <v>2</v>
      </c>
      <c r="Z52" s="83"/>
      <c r="AA52" s="83"/>
      <c r="AB52" s="84">
        <f t="shared" si="27"/>
        <v>-1</v>
      </c>
      <c r="AC52" s="122">
        <f t="shared" si="5"/>
        <v>2</v>
      </c>
      <c r="AD52" s="85">
        <f t="shared" si="6"/>
        <v>-1</v>
      </c>
    </row>
    <row r="53" spans="1:30" ht="15" customHeight="1" thickBot="1" x14ac:dyDescent="0.3">
      <c r="A53" s="126"/>
      <c r="B53" s="149"/>
      <c r="C53" s="99" t="s">
        <v>65</v>
      </c>
      <c r="D53" s="156"/>
      <c r="E53" s="92"/>
      <c r="F53" s="92"/>
      <c r="G53" s="151">
        <f t="shared" ref="G53:I53" si="29">SUM(G49:G52)</f>
        <v>6602.6</v>
      </c>
      <c r="H53" s="157">
        <f t="shared" si="29"/>
        <v>0</v>
      </c>
      <c r="I53" s="157">
        <f t="shared" si="29"/>
        <v>0</v>
      </c>
      <c r="J53" s="157">
        <f>SUM(J49:J52)</f>
        <v>0</v>
      </c>
      <c r="K53" s="157"/>
      <c r="L53" s="157">
        <f t="shared" ref="L53:X53" si="30">SUM(L49:L52)</f>
        <v>348.2</v>
      </c>
      <c r="M53" s="157">
        <f t="shared" si="30"/>
        <v>6950.8</v>
      </c>
      <c r="N53" s="94"/>
      <c r="O53" s="157">
        <f>SUM(O49:O52)</f>
        <v>3137.6000000000004</v>
      </c>
      <c r="P53" s="157">
        <f t="shared" ref="P53:R53" si="31">SUM(P49:P52)</f>
        <v>2414.3000000000002</v>
      </c>
      <c r="Q53" s="157">
        <f t="shared" si="31"/>
        <v>723.3</v>
      </c>
      <c r="R53" s="157">
        <f t="shared" si="31"/>
        <v>0</v>
      </c>
      <c r="S53" s="151">
        <f>ROUND(SUM(S50:U52),3)</f>
        <v>3137.6</v>
      </c>
      <c r="T53" s="157">
        <f t="shared" si="30"/>
        <v>0</v>
      </c>
      <c r="U53" s="157">
        <f t="shared" si="30"/>
        <v>0</v>
      </c>
      <c r="V53" s="152">
        <f t="shared" si="30"/>
        <v>0</v>
      </c>
      <c r="W53" s="157"/>
      <c r="X53" s="157">
        <f t="shared" si="30"/>
        <v>0</v>
      </c>
      <c r="Y53" s="157">
        <f>SUM(Y49:Y52)</f>
        <v>7</v>
      </c>
      <c r="Z53" s="157"/>
      <c r="AA53" s="157"/>
      <c r="AB53" s="99"/>
      <c r="AC53" s="154">
        <f t="shared" si="5"/>
        <v>7</v>
      </c>
      <c r="AD53" s="101"/>
    </row>
    <row r="54" spans="1:30" ht="15.75" x14ac:dyDescent="0.25">
      <c r="A54" s="126"/>
      <c r="B54" s="139" t="s">
        <v>39</v>
      </c>
      <c r="C54" s="66" t="s">
        <v>70</v>
      </c>
      <c r="D54" s="103">
        <v>3.339</v>
      </c>
      <c r="E54" s="104">
        <v>1539.5</v>
      </c>
      <c r="F54" s="104">
        <f t="shared" ref="F54:F59" si="32">E54*D54</f>
        <v>5140.3904999999995</v>
      </c>
      <c r="G54" s="140">
        <v>4953.2</v>
      </c>
      <c r="H54" s="141"/>
      <c r="I54" s="141"/>
      <c r="J54" s="106"/>
      <c r="K54" s="106"/>
      <c r="L54" s="106">
        <v>185.7</v>
      </c>
      <c r="M54" s="106">
        <f t="shared" ref="M54:M59" si="33">G54+L54</f>
        <v>5138.8999999999996</v>
      </c>
      <c r="N54" s="106">
        <f t="shared" ref="N54:N59" si="34">M54-F54</f>
        <v>-1.4904999999998836</v>
      </c>
      <c r="O54" s="106">
        <v>2542.4</v>
      </c>
      <c r="P54" s="141">
        <v>1955.7</v>
      </c>
      <c r="Q54" s="141">
        <v>586.70000000000005</v>
      </c>
      <c r="R54" s="141"/>
      <c r="S54" s="107">
        <f t="shared" ref="S54:S59" si="35">O54+R54</f>
        <v>2542.4</v>
      </c>
      <c r="T54" s="141"/>
      <c r="U54" s="141"/>
      <c r="V54" s="142">
        <f t="shared" ref="V54:V59" si="36">T54+U54</f>
        <v>0</v>
      </c>
      <c r="W54" s="110">
        <v>6</v>
      </c>
      <c r="X54" s="66">
        <v>9</v>
      </c>
      <c r="Y54" s="66">
        <v>6</v>
      </c>
      <c r="Z54" s="66"/>
      <c r="AA54" s="66"/>
      <c r="AB54" s="111">
        <f t="shared" ref="AB54:AB59" si="37">(Y54+AA54)-W54</f>
        <v>0</v>
      </c>
      <c r="AC54" s="143">
        <f t="shared" si="5"/>
        <v>6</v>
      </c>
      <c r="AD54" s="112">
        <f t="shared" si="6"/>
        <v>0</v>
      </c>
    </row>
    <row r="55" spans="1:30" ht="15.75" x14ac:dyDescent="0.25">
      <c r="A55" s="126"/>
      <c r="B55" s="144"/>
      <c r="C55" s="83" t="s">
        <v>71</v>
      </c>
      <c r="D55" s="74">
        <v>2.0990000000000002</v>
      </c>
      <c r="E55" s="75">
        <v>2041.5</v>
      </c>
      <c r="F55" s="75">
        <f t="shared" si="32"/>
        <v>4285.1085000000003</v>
      </c>
      <c r="G55" s="145">
        <v>3810</v>
      </c>
      <c r="H55" s="146"/>
      <c r="I55" s="146"/>
      <c r="J55" s="78"/>
      <c r="K55" s="78"/>
      <c r="L55" s="78">
        <v>117.1</v>
      </c>
      <c r="M55" s="78">
        <f t="shared" si="33"/>
        <v>3927.1</v>
      </c>
      <c r="N55" s="78">
        <f t="shared" si="34"/>
        <v>-358.00850000000037</v>
      </c>
      <c r="O55" s="78">
        <v>1306.2</v>
      </c>
      <c r="P55" s="146">
        <v>1006</v>
      </c>
      <c r="Q55" s="146">
        <v>300.2</v>
      </c>
      <c r="R55" s="146"/>
      <c r="S55" s="79">
        <f t="shared" si="35"/>
        <v>1306.2</v>
      </c>
      <c r="T55" s="146"/>
      <c r="U55" s="146"/>
      <c r="V55" s="147">
        <f t="shared" si="36"/>
        <v>0</v>
      </c>
      <c r="W55" s="82">
        <v>4</v>
      </c>
      <c r="X55" s="83"/>
      <c r="Y55" s="83">
        <v>4</v>
      </c>
      <c r="Z55" s="83"/>
      <c r="AA55" s="83"/>
      <c r="AB55" s="84">
        <f t="shared" si="37"/>
        <v>0</v>
      </c>
      <c r="AC55" s="122">
        <f t="shared" si="5"/>
        <v>4</v>
      </c>
      <c r="AD55" s="85">
        <f t="shared" si="6"/>
        <v>0</v>
      </c>
    </row>
    <row r="56" spans="1:30" ht="15.75" x14ac:dyDescent="0.25">
      <c r="A56" s="126"/>
      <c r="B56" s="144"/>
      <c r="C56" s="83" t="s">
        <v>72</v>
      </c>
      <c r="D56" s="74">
        <v>4.5410000000000004</v>
      </c>
      <c r="E56" s="75">
        <v>1511.2</v>
      </c>
      <c r="F56" s="75">
        <f t="shared" si="32"/>
        <v>6862.3592000000008</v>
      </c>
      <c r="G56" s="145">
        <v>6310.5</v>
      </c>
      <c r="H56" s="146"/>
      <c r="I56" s="146"/>
      <c r="J56" s="78"/>
      <c r="K56" s="78"/>
      <c r="L56" s="78">
        <v>252.3</v>
      </c>
      <c r="M56" s="78">
        <f t="shared" si="33"/>
        <v>6562.8</v>
      </c>
      <c r="N56" s="78">
        <f t="shared" si="34"/>
        <v>-299.5592000000006</v>
      </c>
      <c r="O56" s="78">
        <v>1959.8</v>
      </c>
      <c r="P56" s="146">
        <v>1482.5</v>
      </c>
      <c r="Q56" s="146">
        <v>477.3</v>
      </c>
      <c r="R56" s="146"/>
      <c r="S56" s="79">
        <f t="shared" si="35"/>
        <v>1959.8</v>
      </c>
      <c r="T56" s="146"/>
      <c r="U56" s="146"/>
      <c r="V56" s="147">
        <f t="shared" si="36"/>
        <v>0</v>
      </c>
      <c r="W56" s="82">
        <v>6</v>
      </c>
      <c r="X56" s="83"/>
      <c r="Y56" s="83">
        <v>6</v>
      </c>
      <c r="Z56" s="83"/>
      <c r="AA56" s="83"/>
      <c r="AB56" s="84">
        <f t="shared" si="37"/>
        <v>0</v>
      </c>
      <c r="AC56" s="122">
        <f t="shared" si="5"/>
        <v>6</v>
      </c>
      <c r="AD56" s="85">
        <f t="shared" si="6"/>
        <v>0</v>
      </c>
    </row>
    <row r="57" spans="1:30" ht="15.75" x14ac:dyDescent="0.25">
      <c r="A57" s="126"/>
      <c r="B57" s="144"/>
      <c r="C57" s="158" t="s">
        <v>73</v>
      </c>
      <c r="D57" s="74">
        <v>1.7330000000000001</v>
      </c>
      <c r="E57" s="75">
        <v>2631</v>
      </c>
      <c r="F57" s="75">
        <f t="shared" si="32"/>
        <v>4559.5230000000001</v>
      </c>
      <c r="G57" s="145">
        <v>4009.4</v>
      </c>
      <c r="H57" s="146"/>
      <c r="I57" s="146"/>
      <c r="J57" s="78"/>
      <c r="K57" s="78"/>
      <c r="L57" s="78">
        <v>96.7</v>
      </c>
      <c r="M57" s="78">
        <f t="shared" si="33"/>
        <v>4106.1000000000004</v>
      </c>
      <c r="N57" s="78">
        <f t="shared" si="34"/>
        <v>-453.42299999999977</v>
      </c>
      <c r="O57" s="78">
        <v>1468.5</v>
      </c>
      <c r="P57" s="146">
        <v>1127.9000000000001</v>
      </c>
      <c r="Q57" s="146">
        <v>340.6</v>
      </c>
      <c r="R57" s="146"/>
      <c r="S57" s="79">
        <f t="shared" si="35"/>
        <v>1468.5</v>
      </c>
      <c r="T57" s="146"/>
      <c r="U57" s="146"/>
      <c r="V57" s="147">
        <f t="shared" si="36"/>
        <v>0</v>
      </c>
      <c r="W57" s="116">
        <v>7</v>
      </c>
      <c r="X57" s="83"/>
      <c r="Y57" s="83">
        <v>3</v>
      </c>
      <c r="Z57" s="83"/>
      <c r="AA57" s="83"/>
      <c r="AB57" s="84">
        <f t="shared" si="37"/>
        <v>-4</v>
      </c>
      <c r="AC57" s="122">
        <f t="shared" si="5"/>
        <v>3</v>
      </c>
      <c r="AD57" s="85">
        <f t="shared" si="6"/>
        <v>-4</v>
      </c>
    </row>
    <row r="58" spans="1:30" ht="15.75" x14ac:dyDescent="0.25">
      <c r="A58" s="126"/>
      <c r="B58" s="144"/>
      <c r="C58" s="158" t="s">
        <v>74</v>
      </c>
      <c r="D58" s="74">
        <v>1.127</v>
      </c>
      <c r="E58" s="75">
        <v>3857.9</v>
      </c>
      <c r="F58" s="75">
        <f t="shared" si="32"/>
        <v>4347.8532999999998</v>
      </c>
      <c r="G58" s="148">
        <v>3989.4</v>
      </c>
      <c r="H58" s="115"/>
      <c r="I58" s="115"/>
      <c r="J58" s="78"/>
      <c r="K58" s="78"/>
      <c r="L58" s="78">
        <v>62.8</v>
      </c>
      <c r="M58" s="78">
        <f t="shared" si="33"/>
        <v>4052.2000000000003</v>
      </c>
      <c r="N58" s="78">
        <f t="shared" si="34"/>
        <v>-295.65329999999949</v>
      </c>
      <c r="O58" s="78">
        <v>1585.8</v>
      </c>
      <c r="P58" s="146">
        <v>1218</v>
      </c>
      <c r="Q58" s="146">
        <v>367.8</v>
      </c>
      <c r="R58" s="146"/>
      <c r="S58" s="79">
        <f t="shared" si="35"/>
        <v>1585.8</v>
      </c>
      <c r="T58" s="146"/>
      <c r="U58" s="146"/>
      <c r="V58" s="147">
        <f t="shared" si="36"/>
        <v>0</v>
      </c>
      <c r="W58" s="116">
        <v>7</v>
      </c>
      <c r="X58" s="83"/>
      <c r="Y58" s="83">
        <v>4</v>
      </c>
      <c r="Z58" s="83"/>
      <c r="AA58" s="83"/>
      <c r="AB58" s="84">
        <f t="shared" si="37"/>
        <v>-3</v>
      </c>
      <c r="AC58" s="122">
        <f t="shared" si="5"/>
        <v>4</v>
      </c>
      <c r="AD58" s="85">
        <f t="shared" si="6"/>
        <v>-3</v>
      </c>
    </row>
    <row r="59" spans="1:30" ht="15.75" x14ac:dyDescent="0.25">
      <c r="A59" s="126">
        <v>0</v>
      </c>
      <c r="B59" s="144"/>
      <c r="C59" s="158" t="s">
        <v>75</v>
      </c>
      <c r="D59" s="74">
        <v>3.2879999999999998</v>
      </c>
      <c r="E59" s="75">
        <v>1711.6</v>
      </c>
      <c r="F59" s="75">
        <f t="shared" si="32"/>
        <v>5627.7407999999996</v>
      </c>
      <c r="G59" s="145">
        <v>5349.7</v>
      </c>
      <c r="H59" s="146"/>
      <c r="I59" s="146"/>
      <c r="J59" s="78"/>
      <c r="K59" s="78"/>
      <c r="L59" s="78">
        <v>182.4</v>
      </c>
      <c r="M59" s="78">
        <f t="shared" si="33"/>
        <v>5532.0999999999995</v>
      </c>
      <c r="N59" s="78">
        <f t="shared" si="34"/>
        <v>-95.640800000000127</v>
      </c>
      <c r="O59" s="78">
        <v>2418.3000000000002</v>
      </c>
      <c r="P59" s="146">
        <v>1862.9</v>
      </c>
      <c r="Q59" s="146">
        <v>555.4</v>
      </c>
      <c r="R59" s="146"/>
      <c r="S59" s="79">
        <f t="shared" si="35"/>
        <v>2418.3000000000002</v>
      </c>
      <c r="T59" s="146"/>
      <c r="U59" s="146"/>
      <c r="V59" s="147">
        <f t="shared" si="36"/>
        <v>0</v>
      </c>
      <c r="W59" s="116">
        <v>7</v>
      </c>
      <c r="X59" s="83"/>
      <c r="Y59" s="83">
        <v>7</v>
      </c>
      <c r="Z59" s="83"/>
      <c r="AA59" s="83"/>
      <c r="AB59" s="84">
        <f t="shared" si="37"/>
        <v>0</v>
      </c>
      <c r="AC59" s="122">
        <f t="shared" si="5"/>
        <v>7</v>
      </c>
      <c r="AD59" s="85">
        <f t="shared" si="6"/>
        <v>0</v>
      </c>
    </row>
    <row r="60" spans="1:30" ht="16.5" thickBot="1" x14ac:dyDescent="0.3">
      <c r="A60" s="126"/>
      <c r="B60" s="149"/>
      <c r="C60" s="99" t="s">
        <v>65</v>
      </c>
      <c r="D60" s="156"/>
      <c r="E60" s="92"/>
      <c r="F60" s="92"/>
      <c r="G60" s="151">
        <f t="shared" ref="G60:I60" si="38">SUM(G54:G59)</f>
        <v>28422.200000000004</v>
      </c>
      <c r="H60" s="157">
        <f t="shared" si="38"/>
        <v>0</v>
      </c>
      <c r="I60" s="157">
        <f t="shared" si="38"/>
        <v>0</v>
      </c>
      <c r="J60" s="157">
        <f>SUM(J54:J59)</f>
        <v>0</v>
      </c>
      <c r="K60" s="157">
        <f t="shared" ref="K60:V60" si="39">SUM(K54:K59)</f>
        <v>0</v>
      </c>
      <c r="L60" s="157">
        <f t="shared" si="39"/>
        <v>896.99999999999989</v>
      </c>
      <c r="M60" s="151">
        <f t="shared" si="39"/>
        <v>29319.200000000001</v>
      </c>
      <c r="N60" s="94"/>
      <c r="O60" s="157">
        <f t="shared" ref="O60:Q60" si="40">SUM(O54:O59)</f>
        <v>11281</v>
      </c>
      <c r="P60" s="157">
        <f t="shared" si="40"/>
        <v>8653</v>
      </c>
      <c r="Q60" s="157">
        <f t="shared" si="40"/>
        <v>2628.0000000000005</v>
      </c>
      <c r="R60" s="157">
        <f>SUM(R54:R59)</f>
        <v>0</v>
      </c>
      <c r="S60" s="157">
        <f t="shared" ref="S60" si="41">SUM(S54:S59)</f>
        <v>11281</v>
      </c>
      <c r="T60" s="157">
        <f t="shared" si="39"/>
        <v>0</v>
      </c>
      <c r="U60" s="157">
        <f t="shared" si="39"/>
        <v>0</v>
      </c>
      <c r="V60" s="152">
        <f t="shared" si="39"/>
        <v>0</v>
      </c>
      <c r="W60" s="153"/>
      <c r="X60" s="157">
        <f t="shared" ref="X60:AA60" si="42">SUM(X54:X59)</f>
        <v>9</v>
      </c>
      <c r="Y60" s="157">
        <f t="shared" si="42"/>
        <v>30</v>
      </c>
      <c r="Z60" s="157">
        <f t="shared" si="42"/>
        <v>0</v>
      </c>
      <c r="AA60" s="157">
        <f t="shared" si="42"/>
        <v>0</v>
      </c>
      <c r="AB60" s="99"/>
      <c r="AC60" s="154">
        <f>Y60+AA60</f>
        <v>30</v>
      </c>
      <c r="AD60" s="101"/>
    </row>
    <row r="61" spans="1:30" ht="15.75" x14ac:dyDescent="0.25">
      <c r="A61" s="126"/>
      <c r="B61" s="139" t="s">
        <v>76</v>
      </c>
      <c r="C61" s="159" t="s">
        <v>77</v>
      </c>
      <c r="D61" s="103">
        <v>6.0709999999999997</v>
      </c>
      <c r="E61" s="104">
        <v>197.7</v>
      </c>
      <c r="F61" s="104">
        <f t="shared" ref="F61:F66" si="43">E61*D61</f>
        <v>1200.2366999999999</v>
      </c>
      <c r="G61" s="140">
        <v>114.3</v>
      </c>
      <c r="H61" s="141"/>
      <c r="I61" s="141"/>
      <c r="J61" s="106"/>
      <c r="K61" s="106"/>
      <c r="L61" s="106"/>
      <c r="M61" s="106">
        <f>G61+L61</f>
        <v>114.3</v>
      </c>
      <c r="N61" s="106">
        <f t="shared" ref="N61:N66" si="44">M61-F61</f>
        <v>-1085.9367</v>
      </c>
      <c r="O61" s="106"/>
      <c r="P61" s="141"/>
      <c r="Q61" s="141"/>
      <c r="R61" s="141"/>
      <c r="S61" s="105"/>
      <c r="T61" s="141"/>
      <c r="U61" s="141"/>
      <c r="V61" s="142">
        <f>T61+U61</f>
        <v>0</v>
      </c>
      <c r="W61" s="110">
        <v>0</v>
      </c>
      <c r="X61" s="66"/>
      <c r="Y61" s="66">
        <v>0</v>
      </c>
      <c r="Z61" s="66"/>
      <c r="AA61" s="66"/>
      <c r="AB61" s="111">
        <f t="shared" ref="AB61:AB66" si="45">(Y61+AA61)-W61</f>
        <v>0</v>
      </c>
      <c r="AC61" s="143">
        <f t="shared" si="5"/>
        <v>0</v>
      </c>
      <c r="AD61" s="112">
        <f t="shared" si="6"/>
        <v>0</v>
      </c>
    </row>
    <row r="62" spans="1:30" ht="15.75" x14ac:dyDescent="0.25">
      <c r="A62" s="126"/>
      <c r="B62" s="144"/>
      <c r="C62" s="118" t="s">
        <v>78</v>
      </c>
      <c r="D62" s="74">
        <v>3.8029999999999999</v>
      </c>
      <c r="E62" s="75">
        <v>1607.6</v>
      </c>
      <c r="F62" s="75">
        <f t="shared" si="43"/>
        <v>6113.7027999999991</v>
      </c>
      <c r="G62" s="145">
        <v>5433.5</v>
      </c>
      <c r="H62" s="146"/>
      <c r="I62" s="146"/>
      <c r="J62" s="78"/>
      <c r="K62" s="78"/>
      <c r="L62" s="78">
        <v>253.6</v>
      </c>
      <c r="M62" s="78">
        <f>G62+L62</f>
        <v>5687.1</v>
      </c>
      <c r="N62" s="78">
        <f t="shared" si="44"/>
        <v>-426.60279999999875</v>
      </c>
      <c r="O62" s="78">
        <v>2566</v>
      </c>
      <c r="P62" s="146">
        <v>1976.4</v>
      </c>
      <c r="Q62" s="146">
        <v>589.6</v>
      </c>
      <c r="R62" s="146"/>
      <c r="S62" s="79">
        <f t="shared" ref="S62:S66" si="46">O62+R62</f>
        <v>2566</v>
      </c>
      <c r="T62" s="146"/>
      <c r="U62" s="146"/>
      <c r="V62" s="147">
        <f>T62+U62</f>
        <v>0</v>
      </c>
      <c r="W62" s="82">
        <v>7</v>
      </c>
      <c r="X62" s="83"/>
      <c r="Y62" s="83">
        <v>5.75</v>
      </c>
      <c r="Z62" s="83"/>
      <c r="AA62" s="83">
        <v>0.25</v>
      </c>
      <c r="AB62" s="84">
        <f t="shared" si="45"/>
        <v>-1</v>
      </c>
      <c r="AC62" s="122">
        <f t="shared" si="5"/>
        <v>6</v>
      </c>
      <c r="AD62" s="85">
        <f t="shared" si="6"/>
        <v>-1</v>
      </c>
    </row>
    <row r="63" spans="1:30" ht="15.75" hidden="1" x14ac:dyDescent="0.25">
      <c r="A63" s="126"/>
      <c r="B63" s="144"/>
      <c r="C63" s="118" t="s">
        <v>79</v>
      </c>
      <c r="D63" s="74"/>
      <c r="E63" s="75"/>
      <c r="F63" s="75">
        <f t="shared" si="43"/>
        <v>0</v>
      </c>
      <c r="G63" s="148"/>
      <c r="H63" s="115"/>
      <c r="I63" s="115"/>
      <c r="J63" s="78"/>
      <c r="K63" s="78"/>
      <c r="L63" s="78"/>
      <c r="M63" s="78"/>
      <c r="N63" s="78">
        <f t="shared" si="44"/>
        <v>0</v>
      </c>
      <c r="O63" s="78"/>
      <c r="P63" s="115"/>
      <c r="Q63" s="115"/>
      <c r="R63" s="115"/>
      <c r="S63" s="79">
        <f t="shared" si="46"/>
        <v>0</v>
      </c>
      <c r="T63" s="115"/>
      <c r="U63" s="115"/>
      <c r="V63" s="147"/>
      <c r="W63" s="82"/>
      <c r="X63" s="83"/>
      <c r="Y63" s="83"/>
      <c r="Z63" s="83"/>
      <c r="AA63" s="83"/>
      <c r="AB63" s="84">
        <f t="shared" si="45"/>
        <v>0</v>
      </c>
      <c r="AC63" s="122">
        <f t="shared" si="5"/>
        <v>0</v>
      </c>
      <c r="AD63" s="85">
        <f t="shared" si="6"/>
        <v>0</v>
      </c>
    </row>
    <row r="64" spans="1:30" ht="15.75" x14ac:dyDescent="0.25">
      <c r="A64" s="126"/>
      <c r="B64" s="144"/>
      <c r="C64" s="160" t="s">
        <v>80</v>
      </c>
      <c r="D64" s="74">
        <v>1.296</v>
      </c>
      <c r="E64" s="75">
        <v>3079.4</v>
      </c>
      <c r="F64" s="75">
        <f t="shared" si="43"/>
        <v>3990.9024000000004</v>
      </c>
      <c r="G64" s="148">
        <v>2923.8</v>
      </c>
      <c r="H64" s="115"/>
      <c r="I64" s="115"/>
      <c r="J64" s="78"/>
      <c r="K64" s="78"/>
      <c r="L64" s="78">
        <v>88.8</v>
      </c>
      <c r="M64" s="78">
        <f>G64+L64</f>
        <v>3012.6000000000004</v>
      </c>
      <c r="N64" s="78">
        <f t="shared" si="44"/>
        <v>-978.30240000000003</v>
      </c>
      <c r="O64" s="78">
        <v>1164.8</v>
      </c>
      <c r="P64" s="115">
        <v>897.4</v>
      </c>
      <c r="Q64" s="115">
        <v>267.39999999999998</v>
      </c>
      <c r="R64" s="115"/>
      <c r="S64" s="79">
        <f t="shared" si="46"/>
        <v>1164.8</v>
      </c>
      <c r="T64" s="115"/>
      <c r="U64" s="115"/>
      <c r="V64" s="147">
        <f>T64+U64</f>
        <v>0</v>
      </c>
      <c r="W64" s="82">
        <v>5</v>
      </c>
      <c r="X64" s="83"/>
      <c r="Y64" s="83">
        <v>4.75</v>
      </c>
      <c r="Z64" s="83"/>
      <c r="AA64" s="83">
        <v>0.25</v>
      </c>
      <c r="AB64" s="84">
        <f t="shared" si="45"/>
        <v>0</v>
      </c>
      <c r="AC64" s="122">
        <f t="shared" si="5"/>
        <v>5</v>
      </c>
      <c r="AD64" s="85">
        <f t="shared" si="6"/>
        <v>0</v>
      </c>
    </row>
    <row r="65" spans="1:30" ht="15.75" x14ac:dyDescent="0.25">
      <c r="A65" s="126"/>
      <c r="B65" s="144"/>
      <c r="C65" s="118" t="s">
        <v>81</v>
      </c>
      <c r="D65" s="74">
        <v>1.4630000000000001</v>
      </c>
      <c r="E65" s="75">
        <v>2280.9</v>
      </c>
      <c r="F65" s="75">
        <f t="shared" si="43"/>
        <v>3336.9567000000002</v>
      </c>
      <c r="G65" s="148">
        <v>3253.4</v>
      </c>
      <c r="H65" s="115"/>
      <c r="I65" s="115"/>
      <c r="J65" s="78"/>
      <c r="K65" s="78"/>
      <c r="L65" s="78">
        <v>83.5</v>
      </c>
      <c r="M65" s="78">
        <f>G65+L65</f>
        <v>3336.9</v>
      </c>
      <c r="N65" s="78">
        <f t="shared" si="44"/>
        <v>-5.6700000000091677E-2</v>
      </c>
      <c r="O65" s="78">
        <v>1353.6</v>
      </c>
      <c r="P65" s="115">
        <v>1040.4000000000001</v>
      </c>
      <c r="Q65" s="115">
        <v>313.2</v>
      </c>
      <c r="R65" s="115"/>
      <c r="S65" s="79">
        <f t="shared" si="46"/>
        <v>1353.6</v>
      </c>
      <c r="T65" s="115"/>
      <c r="U65" s="115"/>
      <c r="V65" s="147">
        <f>T65+U65</f>
        <v>0</v>
      </c>
      <c r="W65" s="82">
        <v>4</v>
      </c>
      <c r="X65" s="83"/>
      <c r="Y65" s="83">
        <v>3.75</v>
      </c>
      <c r="Z65" s="83"/>
      <c r="AA65" s="83">
        <v>0.25</v>
      </c>
      <c r="AB65" s="84">
        <f t="shared" si="45"/>
        <v>0</v>
      </c>
      <c r="AC65" s="122">
        <f t="shared" si="5"/>
        <v>4</v>
      </c>
      <c r="AD65" s="85">
        <f t="shared" si="6"/>
        <v>0</v>
      </c>
    </row>
    <row r="66" spans="1:30" ht="15.75" x14ac:dyDescent="0.25">
      <c r="A66" s="126"/>
      <c r="B66" s="144"/>
      <c r="C66" s="118" t="s">
        <v>82</v>
      </c>
      <c r="D66" s="74">
        <v>2.4449999999999998</v>
      </c>
      <c r="E66" s="75">
        <v>1584.4</v>
      </c>
      <c r="F66" s="75">
        <f t="shared" si="43"/>
        <v>3873.8580000000002</v>
      </c>
      <c r="G66" s="148">
        <v>3218.1</v>
      </c>
      <c r="H66" s="115"/>
      <c r="I66" s="115"/>
      <c r="J66" s="78"/>
      <c r="K66" s="78"/>
      <c r="L66" s="78">
        <v>121.9</v>
      </c>
      <c r="M66" s="78">
        <f>G66+L66</f>
        <v>3340</v>
      </c>
      <c r="N66" s="78">
        <f t="shared" si="44"/>
        <v>-533.85800000000017</v>
      </c>
      <c r="O66" s="78">
        <v>1527.1</v>
      </c>
      <c r="P66" s="115">
        <v>1166.9000000000001</v>
      </c>
      <c r="Q66" s="115">
        <v>360.2</v>
      </c>
      <c r="R66" s="115"/>
      <c r="S66" s="79">
        <f t="shared" si="46"/>
        <v>1527.1</v>
      </c>
      <c r="T66" s="115"/>
      <c r="U66" s="115"/>
      <c r="V66" s="147">
        <f>T66+U66</f>
        <v>0</v>
      </c>
      <c r="W66" s="82">
        <v>5</v>
      </c>
      <c r="X66" s="83"/>
      <c r="Y66" s="83">
        <v>4.75</v>
      </c>
      <c r="Z66" s="83"/>
      <c r="AA66" s="83">
        <v>0.25</v>
      </c>
      <c r="AB66" s="84">
        <f t="shared" si="45"/>
        <v>0</v>
      </c>
      <c r="AC66" s="122">
        <f t="shared" si="5"/>
        <v>5</v>
      </c>
      <c r="AD66" s="85">
        <f t="shared" si="6"/>
        <v>0</v>
      </c>
    </row>
    <row r="67" spans="1:30" ht="21" customHeight="1" thickBot="1" x14ac:dyDescent="0.3">
      <c r="A67" s="126"/>
      <c r="B67" s="149"/>
      <c r="C67" s="99" t="s">
        <v>65</v>
      </c>
      <c r="D67" s="161"/>
      <c r="E67" s="92"/>
      <c r="F67" s="92"/>
      <c r="G67" s="162">
        <f>ROUND(SUM(G61:G66),3)</f>
        <v>14943.1</v>
      </c>
      <c r="H67" s="163">
        <f t="shared" ref="H67:I67" si="47">ROUND(SUM(H61:H66),3)</f>
        <v>0</v>
      </c>
      <c r="I67" s="163">
        <f t="shared" si="47"/>
        <v>0</v>
      </c>
      <c r="J67" s="163">
        <f>ROUND(SUM(J61:J66),3)</f>
        <v>0</v>
      </c>
      <c r="K67" s="163"/>
      <c r="L67" s="163">
        <f t="shared" ref="L67:V67" si="48">ROUND(SUM(L61:L66),3)</f>
        <v>547.79999999999995</v>
      </c>
      <c r="M67" s="163">
        <f t="shared" si="48"/>
        <v>15490.9</v>
      </c>
      <c r="N67" s="94"/>
      <c r="O67" s="163">
        <f>ROUND(SUM(O61:O66),3)</f>
        <v>6611.5</v>
      </c>
      <c r="P67" s="163">
        <f t="shared" ref="P67:S67" si="49">ROUND(SUM(P61:P66),3)</f>
        <v>5081.1000000000004</v>
      </c>
      <c r="Q67" s="163">
        <f t="shared" si="49"/>
        <v>1530.4</v>
      </c>
      <c r="R67" s="163">
        <f t="shared" si="49"/>
        <v>0</v>
      </c>
      <c r="S67" s="163">
        <f t="shared" si="49"/>
        <v>6611.5</v>
      </c>
      <c r="T67" s="163">
        <f t="shared" si="48"/>
        <v>0</v>
      </c>
      <c r="U67" s="163">
        <f t="shared" si="48"/>
        <v>0</v>
      </c>
      <c r="V67" s="164">
        <f t="shared" si="48"/>
        <v>0</v>
      </c>
      <c r="W67" s="165"/>
      <c r="X67" s="163">
        <f>ROUND(SUM(X61:X66),3)</f>
        <v>0</v>
      </c>
      <c r="Y67" s="163">
        <f t="shared" ref="Y67:AA67" si="50">ROUND(SUM(Y61:Y66),3)</f>
        <v>19</v>
      </c>
      <c r="Z67" s="163">
        <f t="shared" si="50"/>
        <v>0</v>
      </c>
      <c r="AA67" s="163">
        <f t="shared" si="50"/>
        <v>1</v>
      </c>
      <c r="AB67" s="99"/>
      <c r="AC67" s="154">
        <f t="shared" si="5"/>
        <v>20</v>
      </c>
      <c r="AD67" s="101"/>
    </row>
    <row r="68" spans="1:30" ht="14.25" customHeight="1" x14ac:dyDescent="0.25">
      <c r="A68" s="126"/>
      <c r="B68" s="139" t="s">
        <v>41</v>
      </c>
      <c r="C68" s="66" t="s">
        <v>83</v>
      </c>
      <c r="D68" s="103">
        <v>9.2379999999999995</v>
      </c>
      <c r="E68" s="104">
        <v>1431.3</v>
      </c>
      <c r="F68" s="104">
        <f t="shared" ref="F68:F72" si="51">E68*D68</f>
        <v>13222.349399999999</v>
      </c>
      <c r="G68" s="140">
        <v>6991.75</v>
      </c>
      <c r="H68" s="141"/>
      <c r="I68" s="141"/>
      <c r="J68" s="106"/>
      <c r="K68" s="106"/>
      <c r="L68" s="106">
        <v>4340.7700000000004</v>
      </c>
      <c r="M68" s="106">
        <f>G68+L68</f>
        <v>11332.52</v>
      </c>
      <c r="N68" s="106">
        <f>M68-F68</f>
        <v>-1889.8293999999987</v>
      </c>
      <c r="O68" s="106">
        <v>6681.3</v>
      </c>
      <c r="P68" s="141">
        <v>5135.3</v>
      </c>
      <c r="Q68" s="141">
        <v>1546</v>
      </c>
      <c r="R68" s="141"/>
      <c r="S68" s="107">
        <f t="shared" ref="S68:S72" si="52">O68+R68</f>
        <v>6681.3</v>
      </c>
      <c r="T68" s="141"/>
      <c r="U68" s="141"/>
      <c r="V68" s="142">
        <f>T68+U68</f>
        <v>0</v>
      </c>
      <c r="W68" s="110">
        <v>12</v>
      </c>
      <c r="X68" s="66"/>
      <c r="Y68" s="66">
        <v>2</v>
      </c>
      <c r="Z68" s="66"/>
      <c r="AA68" s="66">
        <v>10</v>
      </c>
      <c r="AB68" s="84">
        <f t="shared" ref="AB68:AB72" si="53">(Y68+AA68)-W68</f>
        <v>0</v>
      </c>
      <c r="AC68" s="143">
        <f t="shared" si="5"/>
        <v>12</v>
      </c>
      <c r="AD68" s="112">
        <f t="shared" si="6"/>
        <v>0</v>
      </c>
    </row>
    <row r="69" spans="1:30" ht="14.25" customHeight="1" x14ac:dyDescent="0.25">
      <c r="A69" s="126"/>
      <c r="B69" s="144"/>
      <c r="C69" s="166" t="s">
        <v>84</v>
      </c>
      <c r="D69" s="74">
        <v>1.4510000000000001</v>
      </c>
      <c r="E69" s="75">
        <v>4612.3</v>
      </c>
      <c r="F69" s="75">
        <f t="shared" si="51"/>
        <v>6692.4473000000007</v>
      </c>
      <c r="G69" s="148">
        <v>6598.2</v>
      </c>
      <c r="H69" s="115"/>
      <c r="I69" s="115"/>
      <c r="J69" s="78"/>
      <c r="K69" s="78"/>
      <c r="L69" s="78"/>
      <c r="M69" s="78">
        <f>G69+L69</f>
        <v>6598.2</v>
      </c>
      <c r="N69" s="78">
        <f>M69-F69</f>
        <v>-94.247300000000905</v>
      </c>
      <c r="O69" s="78">
        <v>3299.9</v>
      </c>
      <c r="P69" s="115">
        <v>2355</v>
      </c>
      <c r="Q69" s="115">
        <v>944.9</v>
      </c>
      <c r="R69" s="115"/>
      <c r="S69" s="79">
        <f t="shared" si="52"/>
        <v>3299.9</v>
      </c>
      <c r="T69" s="115"/>
      <c r="U69" s="115"/>
      <c r="V69" s="147">
        <f>T69+U69</f>
        <v>0</v>
      </c>
      <c r="W69" s="116">
        <v>9</v>
      </c>
      <c r="X69" s="83"/>
      <c r="Y69" s="83">
        <v>9</v>
      </c>
      <c r="Z69" s="83"/>
      <c r="AA69" s="83"/>
      <c r="AB69" s="84">
        <f t="shared" si="53"/>
        <v>0</v>
      </c>
      <c r="AC69" s="122">
        <f t="shared" si="5"/>
        <v>9</v>
      </c>
      <c r="AD69" s="85">
        <f t="shared" si="6"/>
        <v>0</v>
      </c>
    </row>
    <row r="70" spans="1:30" ht="14.25" customHeight="1" x14ac:dyDescent="0.25">
      <c r="A70" s="126"/>
      <c r="B70" s="144"/>
      <c r="C70" s="166" t="s">
        <v>85</v>
      </c>
      <c r="D70" s="74">
        <v>0.51800000000000002</v>
      </c>
      <c r="E70" s="75">
        <v>5478.4</v>
      </c>
      <c r="F70" s="75">
        <f t="shared" si="51"/>
        <v>2837.8112000000001</v>
      </c>
      <c r="G70" s="148">
        <v>2837.8</v>
      </c>
      <c r="H70" s="115"/>
      <c r="I70" s="115"/>
      <c r="J70" s="78"/>
      <c r="K70" s="78"/>
      <c r="L70" s="78"/>
      <c r="M70" s="78">
        <f>G70+L70</f>
        <v>2837.8</v>
      </c>
      <c r="N70" s="78">
        <f>M70-F70</f>
        <v>-1.1199999999917054E-2</v>
      </c>
      <c r="O70" s="78">
        <v>1252.9000000000001</v>
      </c>
      <c r="P70" s="115">
        <v>964.7</v>
      </c>
      <c r="Q70" s="115">
        <v>288.2</v>
      </c>
      <c r="R70" s="115"/>
      <c r="S70" s="79">
        <f t="shared" si="52"/>
        <v>1252.9000000000001</v>
      </c>
      <c r="T70" s="115"/>
      <c r="U70" s="115"/>
      <c r="V70" s="147">
        <f>T70+U70</f>
        <v>0</v>
      </c>
      <c r="W70" s="116">
        <v>5</v>
      </c>
      <c r="X70" s="83"/>
      <c r="Y70" s="83">
        <v>5</v>
      </c>
      <c r="Z70" s="83"/>
      <c r="AA70" s="83"/>
      <c r="AB70" s="84">
        <f t="shared" si="53"/>
        <v>0</v>
      </c>
      <c r="AC70" s="122">
        <f t="shared" si="5"/>
        <v>5</v>
      </c>
      <c r="AD70" s="85">
        <f t="shared" si="6"/>
        <v>0</v>
      </c>
    </row>
    <row r="71" spans="1:30" ht="14.25" customHeight="1" x14ac:dyDescent="0.25">
      <c r="A71" s="126"/>
      <c r="B71" s="144"/>
      <c r="C71" s="166" t="s">
        <v>86</v>
      </c>
      <c r="D71" s="74">
        <v>1.633</v>
      </c>
      <c r="E71" s="75">
        <v>2814.4</v>
      </c>
      <c r="F71" s="75">
        <f t="shared" si="51"/>
        <v>4595.9152000000004</v>
      </c>
      <c r="G71" s="148">
        <v>4270.1000000000004</v>
      </c>
      <c r="H71" s="115"/>
      <c r="I71" s="115"/>
      <c r="J71" s="78"/>
      <c r="K71" s="78"/>
      <c r="L71" s="78"/>
      <c r="M71" s="78">
        <f>G71+L71</f>
        <v>4270.1000000000004</v>
      </c>
      <c r="N71" s="78">
        <f>M71-F71</f>
        <v>-325.8152</v>
      </c>
      <c r="O71" s="78">
        <v>2442.6</v>
      </c>
      <c r="P71" s="115">
        <v>1876</v>
      </c>
      <c r="Q71" s="115">
        <v>566.6</v>
      </c>
      <c r="R71" s="115"/>
      <c r="S71" s="79">
        <f t="shared" si="52"/>
        <v>2442.6</v>
      </c>
      <c r="T71" s="115"/>
      <c r="U71" s="115"/>
      <c r="V71" s="147">
        <f>T71+U71</f>
        <v>0</v>
      </c>
      <c r="W71" s="116">
        <v>5</v>
      </c>
      <c r="X71" s="83"/>
      <c r="Y71" s="83">
        <v>5</v>
      </c>
      <c r="Z71" s="83"/>
      <c r="AA71" s="83"/>
      <c r="AB71" s="84">
        <f t="shared" si="53"/>
        <v>0</v>
      </c>
      <c r="AC71" s="122">
        <f t="shared" si="5"/>
        <v>5</v>
      </c>
      <c r="AD71" s="85">
        <f t="shared" si="6"/>
        <v>0</v>
      </c>
    </row>
    <row r="72" spans="1:30" ht="14.25" customHeight="1" x14ac:dyDescent="0.25">
      <c r="A72" s="126"/>
      <c r="B72" s="144"/>
      <c r="C72" s="166" t="s">
        <v>87</v>
      </c>
      <c r="D72" s="74">
        <v>0.76100000000000001</v>
      </c>
      <c r="E72" s="75">
        <v>4958.5</v>
      </c>
      <c r="F72" s="75">
        <f t="shared" si="51"/>
        <v>3773.4185000000002</v>
      </c>
      <c r="G72" s="148">
        <v>3604.2</v>
      </c>
      <c r="H72" s="115"/>
      <c r="I72" s="115"/>
      <c r="J72" s="78"/>
      <c r="K72" s="78"/>
      <c r="L72" s="78"/>
      <c r="M72" s="78">
        <f>G72+L72</f>
        <v>3604.2</v>
      </c>
      <c r="N72" s="78">
        <f>M72-F72</f>
        <v>-169.2185000000004</v>
      </c>
      <c r="O72" s="78">
        <v>1833.4</v>
      </c>
      <c r="P72" s="115">
        <v>1409.1</v>
      </c>
      <c r="Q72" s="115">
        <v>424.3</v>
      </c>
      <c r="R72" s="115"/>
      <c r="S72" s="79">
        <f t="shared" si="52"/>
        <v>1833.4</v>
      </c>
      <c r="T72" s="115"/>
      <c r="U72" s="115"/>
      <c r="V72" s="147">
        <f>T72+U72</f>
        <v>0</v>
      </c>
      <c r="W72" s="116">
        <v>5</v>
      </c>
      <c r="X72" s="83"/>
      <c r="Y72" s="83">
        <v>5</v>
      </c>
      <c r="Z72" s="83"/>
      <c r="AA72" s="83"/>
      <c r="AB72" s="84">
        <f t="shared" si="53"/>
        <v>0</v>
      </c>
      <c r="AC72" s="122">
        <f t="shared" si="5"/>
        <v>5</v>
      </c>
      <c r="AD72" s="85">
        <f t="shared" si="6"/>
        <v>0</v>
      </c>
    </row>
    <row r="73" spans="1:30" ht="16.5" thickBot="1" x14ac:dyDescent="0.3">
      <c r="A73" s="126"/>
      <c r="B73" s="149"/>
      <c r="C73" s="99" t="s">
        <v>65</v>
      </c>
      <c r="D73" s="150"/>
      <c r="E73" s="92"/>
      <c r="F73" s="92"/>
      <c r="G73" s="151">
        <f t="shared" ref="G73:I73" si="54">ROUND(SUM(G68:G72),3)</f>
        <v>24302.05</v>
      </c>
      <c r="H73" s="151">
        <f t="shared" si="54"/>
        <v>0</v>
      </c>
      <c r="I73" s="151">
        <f t="shared" si="54"/>
        <v>0</v>
      </c>
      <c r="J73" s="151">
        <f t="shared" ref="J73:AA73" si="55">ROUND(SUM(J68:J72),3)</f>
        <v>0</v>
      </c>
      <c r="K73" s="151"/>
      <c r="L73" s="151">
        <f t="shared" si="55"/>
        <v>4340.7700000000004</v>
      </c>
      <c r="M73" s="151">
        <f t="shared" si="55"/>
        <v>28642.82</v>
      </c>
      <c r="N73" s="94"/>
      <c r="O73" s="151">
        <f t="shared" ref="O73:S73" si="56">ROUND(SUM(O68:O72),3)</f>
        <v>15510.1</v>
      </c>
      <c r="P73" s="151">
        <f t="shared" si="56"/>
        <v>11740.1</v>
      </c>
      <c r="Q73" s="151">
        <f t="shared" si="56"/>
        <v>3770</v>
      </c>
      <c r="R73" s="151">
        <f t="shared" si="56"/>
        <v>0</v>
      </c>
      <c r="S73" s="151">
        <f t="shared" si="56"/>
        <v>15510.1</v>
      </c>
      <c r="T73" s="151">
        <f t="shared" si="55"/>
        <v>0</v>
      </c>
      <c r="U73" s="151">
        <f t="shared" si="55"/>
        <v>0</v>
      </c>
      <c r="V73" s="152">
        <f t="shared" si="55"/>
        <v>0</v>
      </c>
      <c r="W73" s="151"/>
      <c r="X73" s="151">
        <f t="shared" si="55"/>
        <v>0</v>
      </c>
      <c r="Y73" s="151">
        <f t="shared" si="55"/>
        <v>26</v>
      </c>
      <c r="Z73" s="151">
        <f t="shared" si="55"/>
        <v>0</v>
      </c>
      <c r="AA73" s="151">
        <f t="shared" si="55"/>
        <v>10</v>
      </c>
      <c r="AB73" s="99"/>
      <c r="AC73" s="154">
        <f t="shared" si="5"/>
        <v>36</v>
      </c>
      <c r="AD73" s="101"/>
    </row>
    <row r="74" spans="1:30" ht="15.75" x14ac:dyDescent="0.25">
      <c r="A74" s="126"/>
      <c r="B74" s="139" t="s">
        <v>42</v>
      </c>
      <c r="C74" s="66" t="s">
        <v>88</v>
      </c>
      <c r="D74" s="103">
        <v>1.4370000000000001</v>
      </c>
      <c r="E74" s="104">
        <v>2886</v>
      </c>
      <c r="F74" s="104">
        <f t="shared" ref="F74:F84" si="57">E74*D74</f>
        <v>4147.1819999999998</v>
      </c>
      <c r="G74" s="167">
        <v>3471.5</v>
      </c>
      <c r="H74" s="155"/>
      <c r="I74" s="155"/>
      <c r="J74" s="106"/>
      <c r="K74" s="106"/>
      <c r="L74" s="106">
        <f>408.6-44</f>
        <v>364.6</v>
      </c>
      <c r="M74" s="106">
        <f t="shared" ref="M74:M84" si="58">G74+L74</f>
        <v>3836.1</v>
      </c>
      <c r="N74" s="106">
        <f t="shared" ref="N74:N84" si="59">M74-F74</f>
        <v>-311.08199999999988</v>
      </c>
      <c r="O74" s="106">
        <v>1566.5</v>
      </c>
      <c r="P74" s="155">
        <v>1203.2</v>
      </c>
      <c r="Q74" s="155">
        <v>363.3</v>
      </c>
      <c r="R74" s="155">
        <f>228-36.3</f>
        <v>191.7</v>
      </c>
      <c r="S74" s="107">
        <f t="shared" ref="S74:S84" si="60">O74+R74</f>
        <v>1758.2</v>
      </c>
      <c r="T74" s="155"/>
      <c r="U74" s="155"/>
      <c r="V74" s="142">
        <f>T74+U74</f>
        <v>0</v>
      </c>
      <c r="W74" s="110">
        <v>4</v>
      </c>
      <c r="X74" s="66"/>
      <c r="Y74" s="66">
        <v>3.1</v>
      </c>
      <c r="Z74" s="66"/>
      <c r="AA74" s="66">
        <f>0.57-0.06</f>
        <v>0.51</v>
      </c>
      <c r="AB74" s="111">
        <f>(Y74+AA74)-W74</f>
        <v>-0.38999999999999968</v>
      </c>
      <c r="AC74" s="143">
        <f t="shared" si="5"/>
        <v>3.6100000000000003</v>
      </c>
      <c r="AD74" s="112">
        <f t="shared" si="6"/>
        <v>-0.38999999999999968</v>
      </c>
    </row>
    <row r="75" spans="1:30" ht="15.75" x14ac:dyDescent="0.25">
      <c r="A75" s="126"/>
      <c r="B75" s="144"/>
      <c r="C75" s="83" t="s">
        <v>89</v>
      </c>
      <c r="D75" s="74">
        <v>3.1579999999999999</v>
      </c>
      <c r="E75" s="75">
        <v>2425.3000000000002</v>
      </c>
      <c r="F75" s="75">
        <f t="shared" si="57"/>
        <v>7659.0974000000006</v>
      </c>
      <c r="G75" s="148">
        <v>5938.8</v>
      </c>
      <c r="H75" s="115"/>
      <c r="I75" s="115"/>
      <c r="J75" s="78"/>
      <c r="K75" s="78"/>
      <c r="L75" s="78">
        <f>874.9-102.4</f>
        <v>772.5</v>
      </c>
      <c r="M75" s="78">
        <f t="shared" si="58"/>
        <v>6711.3</v>
      </c>
      <c r="N75" s="78">
        <f t="shared" si="59"/>
        <v>-947.79740000000038</v>
      </c>
      <c r="O75" s="78">
        <v>1907.1</v>
      </c>
      <c r="P75" s="115">
        <v>1465.5</v>
      </c>
      <c r="Q75" s="115">
        <v>441.7</v>
      </c>
      <c r="R75" s="115">
        <f>328.2-82.4</f>
        <v>245.79999999999998</v>
      </c>
      <c r="S75" s="79">
        <f t="shared" si="60"/>
        <v>2152.9</v>
      </c>
      <c r="T75" s="115"/>
      <c r="U75" s="115"/>
      <c r="V75" s="147">
        <f>T75+U75</f>
        <v>0</v>
      </c>
      <c r="W75" s="82">
        <v>5</v>
      </c>
      <c r="X75" s="83"/>
      <c r="Y75" s="83">
        <v>4.22</v>
      </c>
      <c r="Z75" s="83"/>
      <c r="AA75" s="83">
        <f>0.92-0.14</f>
        <v>0.78</v>
      </c>
      <c r="AB75" s="84">
        <f t="shared" ref="AB75:AB84" si="61">(Y75+AA75)-W75</f>
        <v>0</v>
      </c>
      <c r="AC75" s="122">
        <f t="shared" si="5"/>
        <v>5</v>
      </c>
      <c r="AD75" s="85">
        <f t="shared" si="6"/>
        <v>0</v>
      </c>
    </row>
    <row r="76" spans="1:30" ht="15.75" x14ac:dyDescent="0.25">
      <c r="A76" s="126"/>
      <c r="B76" s="144"/>
      <c r="C76" s="117" t="s">
        <v>90</v>
      </c>
      <c r="D76" s="74">
        <v>4.125</v>
      </c>
      <c r="E76" s="75">
        <v>1441.3</v>
      </c>
      <c r="F76" s="75">
        <f t="shared" si="57"/>
        <v>5945.3625000000002</v>
      </c>
      <c r="G76" s="148">
        <v>5003.2</v>
      </c>
      <c r="H76" s="115"/>
      <c r="I76" s="115"/>
      <c r="J76" s="78"/>
      <c r="K76" s="78"/>
      <c r="L76" s="78">
        <f>888.1-80</f>
        <v>808.1</v>
      </c>
      <c r="M76" s="78">
        <f t="shared" si="58"/>
        <v>5811.3</v>
      </c>
      <c r="N76" s="78">
        <f t="shared" si="59"/>
        <v>-134.0625</v>
      </c>
      <c r="O76" s="78">
        <v>1701.2</v>
      </c>
      <c r="P76" s="115">
        <v>1306.7</v>
      </c>
      <c r="Q76" s="115">
        <v>394.5</v>
      </c>
      <c r="R76" s="115">
        <f>341.9-61.3</f>
        <v>280.59999999999997</v>
      </c>
      <c r="S76" s="79">
        <f t="shared" si="60"/>
        <v>1981.8</v>
      </c>
      <c r="T76" s="115"/>
      <c r="U76" s="115"/>
      <c r="V76" s="147">
        <f>T76+U76</f>
        <v>0</v>
      </c>
      <c r="W76" s="82">
        <v>6</v>
      </c>
      <c r="X76" s="83"/>
      <c r="Y76" s="83">
        <v>4.2300000000000004</v>
      </c>
      <c r="Z76" s="83"/>
      <c r="AA76" s="83">
        <f>1.05-0.11</f>
        <v>0.94000000000000006</v>
      </c>
      <c r="AB76" s="84">
        <f t="shared" si="61"/>
        <v>-0.82999999999999918</v>
      </c>
      <c r="AC76" s="122">
        <f t="shared" si="5"/>
        <v>5.1700000000000008</v>
      </c>
      <c r="AD76" s="85">
        <f t="shared" si="6"/>
        <v>-0.82999999999999918</v>
      </c>
    </row>
    <row r="77" spans="1:30" ht="15.75" x14ac:dyDescent="0.25">
      <c r="A77" s="126"/>
      <c r="B77" s="144"/>
      <c r="C77" s="117" t="s">
        <v>91</v>
      </c>
      <c r="D77" s="74">
        <v>4.3319999999999999</v>
      </c>
      <c r="E77" s="75">
        <v>1529.4</v>
      </c>
      <c r="F77" s="75">
        <f t="shared" si="57"/>
        <v>6625.3608000000004</v>
      </c>
      <c r="G77" s="148">
        <v>4692.3999999999996</v>
      </c>
      <c r="H77" s="115"/>
      <c r="I77" s="115"/>
      <c r="J77" s="78"/>
      <c r="K77" s="78"/>
      <c r="L77" s="78">
        <f>1347.9-70.6</f>
        <v>1277.3000000000002</v>
      </c>
      <c r="M77" s="78">
        <f t="shared" si="58"/>
        <v>5969.7</v>
      </c>
      <c r="N77" s="78">
        <f t="shared" si="59"/>
        <v>-655.66080000000056</v>
      </c>
      <c r="O77" s="78">
        <v>2040.2</v>
      </c>
      <c r="P77" s="115">
        <v>1566.9</v>
      </c>
      <c r="Q77" s="115">
        <v>473.3</v>
      </c>
      <c r="R77" s="115">
        <f>319.1-59.8</f>
        <v>259.3</v>
      </c>
      <c r="S77" s="79">
        <f t="shared" si="60"/>
        <v>2299.5</v>
      </c>
      <c r="T77" s="115"/>
      <c r="U77" s="115"/>
      <c r="V77" s="147">
        <f>T77+U77</f>
        <v>0</v>
      </c>
      <c r="W77" s="82">
        <v>6</v>
      </c>
      <c r="X77" s="83"/>
      <c r="Y77" s="83">
        <v>4.13</v>
      </c>
      <c r="Z77" s="83"/>
      <c r="AA77" s="83">
        <f>1.7-0.1</f>
        <v>1.5999999999999999</v>
      </c>
      <c r="AB77" s="84">
        <f t="shared" si="61"/>
        <v>-0.27000000000000046</v>
      </c>
      <c r="AC77" s="122">
        <f t="shared" si="5"/>
        <v>5.7299999999999995</v>
      </c>
      <c r="AD77" s="85">
        <f t="shared" si="6"/>
        <v>-0.27000000000000046</v>
      </c>
    </row>
    <row r="78" spans="1:30" ht="15.75" x14ac:dyDescent="0.25">
      <c r="A78" s="126"/>
      <c r="B78" s="144"/>
      <c r="C78" s="117" t="s">
        <v>92</v>
      </c>
      <c r="D78" s="74">
        <v>5.9089999999999998</v>
      </c>
      <c r="E78" s="75">
        <v>1466.9</v>
      </c>
      <c r="F78" s="75">
        <f t="shared" si="57"/>
        <v>8667.9120999999996</v>
      </c>
      <c r="G78" s="148">
        <v>7147</v>
      </c>
      <c r="H78" s="115"/>
      <c r="I78" s="115"/>
      <c r="J78" s="78"/>
      <c r="K78" s="78"/>
      <c r="L78" s="78">
        <f>1246.1-117.9</f>
        <v>1128.1999999999998</v>
      </c>
      <c r="M78" s="78">
        <f t="shared" si="58"/>
        <v>8275.2000000000007</v>
      </c>
      <c r="N78" s="78">
        <f t="shared" si="59"/>
        <v>-392.71209999999883</v>
      </c>
      <c r="O78" s="78">
        <v>1714.1</v>
      </c>
      <c r="P78" s="115">
        <v>1316.5</v>
      </c>
      <c r="Q78" s="115">
        <v>397.6</v>
      </c>
      <c r="R78" s="115">
        <f>478.6-51.2</f>
        <v>427.40000000000003</v>
      </c>
      <c r="S78" s="79">
        <f t="shared" si="60"/>
        <v>2141.5</v>
      </c>
      <c r="T78" s="115"/>
      <c r="U78" s="115"/>
      <c r="V78" s="147"/>
      <c r="W78" s="82">
        <v>6</v>
      </c>
      <c r="X78" s="83"/>
      <c r="Y78" s="83">
        <v>5.16</v>
      </c>
      <c r="Z78" s="83"/>
      <c r="AA78" s="83">
        <f>1-0.17</f>
        <v>0.83</v>
      </c>
      <c r="AB78" s="84">
        <f t="shared" si="61"/>
        <v>-9.9999999999997868E-3</v>
      </c>
      <c r="AC78" s="122">
        <f t="shared" si="5"/>
        <v>5.99</v>
      </c>
      <c r="AD78" s="85">
        <f t="shared" si="6"/>
        <v>-9.9999999999997868E-3</v>
      </c>
    </row>
    <row r="79" spans="1:30" ht="15.75" x14ac:dyDescent="0.25">
      <c r="A79" s="126"/>
      <c r="B79" s="144"/>
      <c r="C79" s="83" t="s">
        <v>93</v>
      </c>
      <c r="D79" s="74">
        <v>1.9079999999999999</v>
      </c>
      <c r="E79" s="75">
        <v>2666.5</v>
      </c>
      <c r="F79" s="75">
        <f t="shared" si="57"/>
        <v>5087.6819999999998</v>
      </c>
      <c r="G79" s="148">
        <v>4288.2</v>
      </c>
      <c r="H79" s="115"/>
      <c r="I79" s="115"/>
      <c r="J79" s="78"/>
      <c r="K79" s="78"/>
      <c r="L79" s="78">
        <f>469.2-64.1</f>
        <v>405.1</v>
      </c>
      <c r="M79" s="78">
        <f t="shared" si="58"/>
        <v>4693.3</v>
      </c>
      <c r="N79" s="78">
        <f t="shared" si="59"/>
        <v>-394.38199999999961</v>
      </c>
      <c r="O79" s="78">
        <v>1893.2</v>
      </c>
      <c r="P79" s="115">
        <v>1454</v>
      </c>
      <c r="Q79" s="115">
        <v>439.2</v>
      </c>
      <c r="R79" s="115">
        <f>228-47.3</f>
        <v>180.7</v>
      </c>
      <c r="S79" s="79">
        <f t="shared" si="60"/>
        <v>2073.9</v>
      </c>
      <c r="T79" s="115"/>
      <c r="U79" s="115"/>
      <c r="V79" s="147">
        <f>T79+U79</f>
        <v>0</v>
      </c>
      <c r="W79" s="82">
        <v>5</v>
      </c>
      <c r="X79" s="83"/>
      <c r="Y79" s="83">
        <v>3.23</v>
      </c>
      <c r="Z79" s="83"/>
      <c r="AA79" s="83">
        <f>0.5-0.09</f>
        <v>0.41000000000000003</v>
      </c>
      <c r="AB79" s="84">
        <f t="shared" si="61"/>
        <v>-1.3599999999999999</v>
      </c>
      <c r="AC79" s="122">
        <f t="shared" si="5"/>
        <v>3.64</v>
      </c>
      <c r="AD79" s="85">
        <f t="shared" si="6"/>
        <v>-1.3599999999999999</v>
      </c>
    </row>
    <row r="80" spans="1:30" ht="15.75" x14ac:dyDescent="0.25">
      <c r="A80" s="126"/>
      <c r="B80" s="144"/>
      <c r="C80" s="83" t="s">
        <v>94</v>
      </c>
      <c r="D80" s="74">
        <v>10.002000000000001</v>
      </c>
      <c r="E80" s="75">
        <v>1382.9</v>
      </c>
      <c r="F80" s="75">
        <f t="shared" si="57"/>
        <v>13831.765800000001</v>
      </c>
      <c r="G80" s="148">
        <v>10839.3</v>
      </c>
      <c r="H80" s="115"/>
      <c r="I80" s="115"/>
      <c r="J80" s="78"/>
      <c r="K80" s="78"/>
      <c r="L80" s="78">
        <f>2110.4-115.1</f>
        <v>1995.3000000000002</v>
      </c>
      <c r="M80" s="78">
        <f t="shared" si="58"/>
        <v>12834.599999999999</v>
      </c>
      <c r="N80" s="78">
        <f t="shared" si="59"/>
        <v>-997.16580000000249</v>
      </c>
      <c r="O80" s="78">
        <v>2140.8000000000002</v>
      </c>
      <c r="P80" s="115">
        <v>1644.3</v>
      </c>
      <c r="Q80" s="115">
        <v>496.5</v>
      </c>
      <c r="R80" s="115">
        <f>405.7-50.8</f>
        <v>354.9</v>
      </c>
      <c r="S80" s="79">
        <f t="shared" si="60"/>
        <v>2495.7000000000003</v>
      </c>
      <c r="T80" s="115"/>
      <c r="U80" s="115"/>
      <c r="V80" s="147"/>
      <c r="W80" s="82">
        <v>6</v>
      </c>
      <c r="X80" s="83"/>
      <c r="Y80" s="83">
        <v>4.1900000000000004</v>
      </c>
      <c r="Z80" s="83"/>
      <c r="AA80" s="83">
        <f>1.39-0.16</f>
        <v>1.23</v>
      </c>
      <c r="AB80" s="84">
        <f t="shared" si="61"/>
        <v>-0.58000000000000007</v>
      </c>
      <c r="AC80" s="122">
        <f t="shared" si="5"/>
        <v>5.42</v>
      </c>
      <c r="AD80" s="85">
        <f t="shared" si="6"/>
        <v>-0.58000000000000007</v>
      </c>
    </row>
    <row r="81" spans="1:30" ht="15.75" x14ac:dyDescent="0.25">
      <c r="A81" s="126"/>
      <c r="B81" s="144"/>
      <c r="C81" s="83" t="s">
        <v>95</v>
      </c>
      <c r="D81" s="74">
        <v>1.1359999999999999</v>
      </c>
      <c r="E81" s="75">
        <v>2588.6</v>
      </c>
      <c r="F81" s="75">
        <f t="shared" si="57"/>
        <v>2940.6495999999997</v>
      </c>
      <c r="G81" s="148">
        <v>2386.1</v>
      </c>
      <c r="H81" s="115"/>
      <c r="I81" s="115"/>
      <c r="J81" s="78"/>
      <c r="K81" s="78"/>
      <c r="L81" s="78">
        <f>324.7-20.8</f>
        <v>303.89999999999998</v>
      </c>
      <c r="M81" s="78">
        <f>G81+L81</f>
        <v>2690</v>
      </c>
      <c r="N81" s="78">
        <f t="shared" si="59"/>
        <v>-250.64959999999974</v>
      </c>
      <c r="O81" s="78">
        <v>1357.8</v>
      </c>
      <c r="P81" s="115">
        <v>1042.8</v>
      </c>
      <c r="Q81" s="115">
        <v>315</v>
      </c>
      <c r="R81" s="115">
        <f>155-15.8</f>
        <v>139.19999999999999</v>
      </c>
      <c r="S81" s="79">
        <f t="shared" si="60"/>
        <v>1497</v>
      </c>
      <c r="T81" s="115"/>
      <c r="U81" s="115"/>
      <c r="V81" s="147">
        <f>T81+U81</f>
        <v>0</v>
      </c>
      <c r="W81" s="82">
        <v>4</v>
      </c>
      <c r="X81" s="83"/>
      <c r="Y81" s="83">
        <v>2.5499999999999998</v>
      </c>
      <c r="Z81" s="83"/>
      <c r="AA81" s="83">
        <f>0.41-0.03</f>
        <v>0.38</v>
      </c>
      <c r="AB81" s="84">
        <f t="shared" si="61"/>
        <v>-1.0700000000000003</v>
      </c>
      <c r="AC81" s="122">
        <f t="shared" si="5"/>
        <v>2.9299999999999997</v>
      </c>
      <c r="AD81" s="85">
        <f t="shared" si="6"/>
        <v>-1.0700000000000003</v>
      </c>
    </row>
    <row r="82" spans="1:30" ht="15.75" x14ac:dyDescent="0.25">
      <c r="A82" s="126"/>
      <c r="B82" s="144"/>
      <c r="C82" s="83" t="s">
        <v>96</v>
      </c>
      <c r="D82" s="74">
        <v>2.8450000000000002</v>
      </c>
      <c r="E82" s="75">
        <v>1446.1</v>
      </c>
      <c r="F82" s="75">
        <f t="shared" si="57"/>
        <v>4114.1544999999996</v>
      </c>
      <c r="G82" s="148">
        <v>3540.9</v>
      </c>
      <c r="H82" s="115"/>
      <c r="I82" s="115"/>
      <c r="J82" s="78"/>
      <c r="K82" s="78"/>
      <c r="L82" s="78">
        <f>505.1-29.7</f>
        <v>475.40000000000003</v>
      </c>
      <c r="M82" s="78">
        <f t="shared" si="58"/>
        <v>4016.3</v>
      </c>
      <c r="N82" s="78">
        <f t="shared" si="59"/>
        <v>-97.854499999999462</v>
      </c>
      <c r="O82" s="78">
        <v>1544.7</v>
      </c>
      <c r="P82" s="115">
        <v>1186.4000000000001</v>
      </c>
      <c r="Q82" s="115">
        <v>358.3</v>
      </c>
      <c r="R82" s="115">
        <f>300.9-14.1</f>
        <v>286.79999999999995</v>
      </c>
      <c r="S82" s="79">
        <f t="shared" si="60"/>
        <v>1831.5</v>
      </c>
      <c r="T82" s="115"/>
      <c r="U82" s="115"/>
      <c r="V82" s="147"/>
      <c r="W82" s="82">
        <v>5</v>
      </c>
      <c r="X82" s="83"/>
      <c r="Y82" s="83">
        <v>3.08</v>
      </c>
      <c r="Z82" s="83"/>
      <c r="AA82" s="83">
        <f>0.43-0.04</f>
        <v>0.39</v>
      </c>
      <c r="AB82" s="84">
        <f t="shared" si="61"/>
        <v>-1.5299999999999998</v>
      </c>
      <c r="AC82" s="122">
        <f t="shared" si="5"/>
        <v>3.47</v>
      </c>
      <c r="AD82" s="85">
        <f t="shared" si="6"/>
        <v>-1.5299999999999998</v>
      </c>
    </row>
    <row r="83" spans="1:30" ht="16.5" customHeight="1" x14ac:dyDescent="0.25">
      <c r="A83" s="126"/>
      <c r="B83" s="144"/>
      <c r="C83" s="83" t="s">
        <v>97</v>
      </c>
      <c r="D83" s="74">
        <v>0.98299999999999998</v>
      </c>
      <c r="E83" s="75">
        <v>3971.4</v>
      </c>
      <c r="F83" s="75">
        <f t="shared" si="57"/>
        <v>3903.8861999999999</v>
      </c>
      <c r="G83" s="148">
        <v>3158.3</v>
      </c>
      <c r="H83" s="115"/>
      <c r="I83" s="115"/>
      <c r="J83" s="78"/>
      <c r="K83" s="78"/>
      <c r="L83" s="78">
        <f>322.6-49.5</f>
        <v>273.10000000000002</v>
      </c>
      <c r="M83" s="78">
        <f t="shared" si="58"/>
        <v>3431.4</v>
      </c>
      <c r="N83" s="78">
        <f t="shared" si="59"/>
        <v>-472.48619999999983</v>
      </c>
      <c r="O83" s="78">
        <v>1449.9</v>
      </c>
      <c r="P83" s="115">
        <v>1113.5999999999999</v>
      </c>
      <c r="Q83" s="115">
        <v>336.3</v>
      </c>
      <c r="R83" s="115">
        <f>173.2-30.9</f>
        <v>142.29999999999998</v>
      </c>
      <c r="S83" s="79">
        <f t="shared" si="60"/>
        <v>1592.2</v>
      </c>
      <c r="T83" s="115"/>
      <c r="U83" s="115"/>
      <c r="V83" s="147">
        <f>T83+U83</f>
        <v>0</v>
      </c>
      <c r="W83" s="82">
        <v>4</v>
      </c>
      <c r="X83" s="83"/>
      <c r="Y83" s="83">
        <v>2.0699999999999998</v>
      </c>
      <c r="Z83" s="83"/>
      <c r="AA83" s="83">
        <f>0.45-0.07</f>
        <v>0.38</v>
      </c>
      <c r="AB83" s="84">
        <f t="shared" si="61"/>
        <v>-1.5500000000000003</v>
      </c>
      <c r="AC83" s="122">
        <f t="shared" si="5"/>
        <v>2.4499999999999997</v>
      </c>
      <c r="AD83" s="85">
        <v>-1.5</v>
      </c>
    </row>
    <row r="84" spans="1:30" ht="16.5" customHeight="1" x14ac:dyDescent="0.25">
      <c r="A84" s="126"/>
      <c r="B84" s="144"/>
      <c r="C84" s="83" t="s">
        <v>98</v>
      </c>
      <c r="D84" s="74">
        <v>1.53</v>
      </c>
      <c r="E84" s="75">
        <v>2364.5</v>
      </c>
      <c r="F84" s="75">
        <f t="shared" si="57"/>
        <v>3617.6849999999999</v>
      </c>
      <c r="G84" s="148">
        <v>2936.1</v>
      </c>
      <c r="H84" s="115"/>
      <c r="I84" s="115"/>
      <c r="J84" s="78"/>
      <c r="K84" s="78"/>
      <c r="L84" s="78">
        <f>415.8-23.5</f>
        <v>392.3</v>
      </c>
      <c r="M84" s="78">
        <f t="shared" si="58"/>
        <v>3328.4</v>
      </c>
      <c r="N84" s="78">
        <f t="shared" si="59"/>
        <v>-289.28499999999985</v>
      </c>
      <c r="O84" s="78">
        <v>1470.2</v>
      </c>
      <c r="P84" s="115">
        <v>1129.4000000000001</v>
      </c>
      <c r="Q84" s="115">
        <v>341.1</v>
      </c>
      <c r="R84" s="115">
        <f>232.5-5.5</f>
        <v>227</v>
      </c>
      <c r="S84" s="79">
        <f t="shared" si="60"/>
        <v>1697.2</v>
      </c>
      <c r="T84" s="115"/>
      <c r="U84" s="115"/>
      <c r="V84" s="147">
        <f>T84+U84</f>
        <v>0</v>
      </c>
      <c r="W84" s="82">
        <v>4</v>
      </c>
      <c r="X84" s="83"/>
      <c r="Y84" s="83">
        <v>3.07</v>
      </c>
      <c r="Z84" s="83"/>
      <c r="AA84" s="83">
        <f>0.58-0.03</f>
        <v>0.54999999999999993</v>
      </c>
      <c r="AB84" s="84">
        <f t="shared" si="61"/>
        <v>-0.38000000000000034</v>
      </c>
      <c r="AC84" s="122">
        <f t="shared" si="5"/>
        <v>3.6199999999999997</v>
      </c>
      <c r="AD84" s="85">
        <f t="shared" si="6"/>
        <v>-0.38000000000000034</v>
      </c>
    </row>
    <row r="85" spans="1:30" ht="22.5" customHeight="1" thickBot="1" x14ac:dyDescent="0.3">
      <c r="A85" s="126"/>
      <c r="B85" s="149"/>
      <c r="C85" s="99" t="s">
        <v>65</v>
      </c>
      <c r="D85" s="168"/>
      <c r="E85" s="92"/>
      <c r="F85" s="92"/>
      <c r="G85" s="154">
        <f>ROUND(SUM(G74:G84),3)</f>
        <v>53401.8</v>
      </c>
      <c r="H85" s="154">
        <f t="shared" ref="H85:M85" si="62">ROUND(SUM(H74:H84),3)</f>
        <v>0</v>
      </c>
      <c r="I85" s="154">
        <f t="shared" si="62"/>
        <v>0</v>
      </c>
      <c r="J85" s="154">
        <f t="shared" si="62"/>
        <v>0</v>
      </c>
      <c r="K85" s="154">
        <f t="shared" si="62"/>
        <v>0</v>
      </c>
      <c r="L85" s="154">
        <f t="shared" si="62"/>
        <v>8195.7999999999993</v>
      </c>
      <c r="M85" s="154">
        <f t="shared" si="62"/>
        <v>61597.599999999999</v>
      </c>
      <c r="N85" s="94"/>
      <c r="O85" s="154">
        <f t="shared" ref="O85:S85" si="63">ROUND(SUM(O74:O84),3)</f>
        <v>18785.7</v>
      </c>
      <c r="P85" s="154">
        <f t="shared" si="63"/>
        <v>14429.3</v>
      </c>
      <c r="Q85" s="154">
        <f t="shared" si="63"/>
        <v>4356.8</v>
      </c>
      <c r="R85" s="154">
        <f t="shared" si="63"/>
        <v>2735.7</v>
      </c>
      <c r="S85" s="154">
        <f t="shared" si="63"/>
        <v>21521.4</v>
      </c>
      <c r="T85" s="154">
        <f>ROUND(SUM(T74:T84),3)</f>
        <v>0</v>
      </c>
      <c r="U85" s="154">
        <f>ROUND(SUM(U74:U84),3)</f>
        <v>0</v>
      </c>
      <c r="V85" s="169">
        <f>ROUND(SUM(V74:V84),3)</f>
        <v>0</v>
      </c>
      <c r="W85" s="125"/>
      <c r="X85" s="154">
        <f t="shared" ref="X85:AA85" si="64">ROUND(SUM(X74:X84),3)</f>
        <v>0</v>
      </c>
      <c r="Y85" s="154">
        <f t="shared" si="64"/>
        <v>39.03</v>
      </c>
      <c r="Z85" s="154">
        <f t="shared" si="64"/>
        <v>0</v>
      </c>
      <c r="AA85" s="154">
        <f t="shared" si="64"/>
        <v>8</v>
      </c>
      <c r="AB85" s="99"/>
      <c r="AC85" s="154">
        <f t="shared" si="5"/>
        <v>47.03</v>
      </c>
      <c r="AD85" s="101"/>
    </row>
    <row r="86" spans="1:30" ht="16.5" customHeight="1" x14ac:dyDescent="0.25">
      <c r="A86" s="126"/>
      <c r="B86" s="170" t="s">
        <v>43</v>
      </c>
      <c r="C86" s="171" t="s">
        <v>99</v>
      </c>
      <c r="D86" s="172">
        <v>3.33</v>
      </c>
      <c r="E86" s="173">
        <v>602.6</v>
      </c>
      <c r="F86" s="173">
        <f t="shared" ref="F86:F90" si="65">E86*D86</f>
        <v>2006.6580000000001</v>
      </c>
      <c r="G86" s="174">
        <v>1866.1</v>
      </c>
      <c r="H86" s="175"/>
      <c r="I86" s="175"/>
      <c r="J86" s="176"/>
      <c r="K86" s="176"/>
      <c r="L86" s="176">
        <v>2</v>
      </c>
      <c r="M86" s="176">
        <f>G86+L86</f>
        <v>1868.1</v>
      </c>
      <c r="N86" s="176">
        <f>M86-F86</f>
        <v>-138.55800000000022</v>
      </c>
      <c r="O86" s="176">
        <v>767.7</v>
      </c>
      <c r="P86" s="175">
        <v>590.6</v>
      </c>
      <c r="Q86" s="175">
        <v>177.1</v>
      </c>
      <c r="R86" s="175"/>
      <c r="S86" s="177">
        <f t="shared" ref="S86:S90" si="66">O86+R86</f>
        <v>767.7</v>
      </c>
      <c r="T86" s="175"/>
      <c r="U86" s="175"/>
      <c r="V86" s="178">
        <f>T86+U86</f>
        <v>0</v>
      </c>
      <c r="W86" s="179">
        <v>2</v>
      </c>
      <c r="X86" s="171"/>
      <c r="Y86" s="171">
        <v>1.5</v>
      </c>
      <c r="Z86" s="171"/>
      <c r="AA86" s="171"/>
      <c r="AB86" s="180">
        <f t="shared" ref="AB86:AB90" si="67">(Y86+AA86)-W86</f>
        <v>-0.5</v>
      </c>
      <c r="AC86" s="181">
        <f t="shared" si="5"/>
        <v>1.5</v>
      </c>
      <c r="AD86" s="182">
        <f t="shared" si="6"/>
        <v>-0.5</v>
      </c>
    </row>
    <row r="87" spans="1:30" ht="16.5" customHeight="1" x14ac:dyDescent="0.25">
      <c r="A87" s="126"/>
      <c r="B87" s="144"/>
      <c r="C87" s="117" t="s">
        <v>100</v>
      </c>
      <c r="D87" s="74">
        <v>2.1389999999999998</v>
      </c>
      <c r="E87" s="75">
        <v>2173.4</v>
      </c>
      <c r="F87" s="75">
        <f t="shared" si="65"/>
        <v>4648.9025999999994</v>
      </c>
      <c r="G87" s="148">
        <v>4644.8999999999996</v>
      </c>
      <c r="H87" s="115"/>
      <c r="I87" s="115"/>
      <c r="J87" s="78"/>
      <c r="K87" s="78"/>
      <c r="L87" s="78">
        <v>4</v>
      </c>
      <c r="M87" s="78">
        <f>G87+L87</f>
        <v>4648.8999999999996</v>
      </c>
      <c r="N87" s="176">
        <f>M87-F87</f>
        <v>-2.599999999802094E-3</v>
      </c>
      <c r="O87" s="78">
        <v>2208.1</v>
      </c>
      <c r="P87" s="115">
        <v>1687.9</v>
      </c>
      <c r="Q87" s="115">
        <v>520.20000000000005</v>
      </c>
      <c r="R87" s="115"/>
      <c r="S87" s="79">
        <f t="shared" si="66"/>
        <v>2208.1</v>
      </c>
      <c r="T87" s="115"/>
      <c r="U87" s="115"/>
      <c r="V87" s="147">
        <f>T87+U87</f>
        <v>0</v>
      </c>
      <c r="W87" s="82">
        <v>5</v>
      </c>
      <c r="X87" s="83"/>
      <c r="Y87" s="83">
        <v>5</v>
      </c>
      <c r="Z87" s="83"/>
      <c r="AA87" s="83"/>
      <c r="AB87" s="84">
        <f t="shared" si="67"/>
        <v>0</v>
      </c>
      <c r="AC87" s="122">
        <f t="shared" si="5"/>
        <v>5</v>
      </c>
      <c r="AD87" s="85">
        <f t="shared" si="6"/>
        <v>0</v>
      </c>
    </row>
    <row r="88" spans="1:30" ht="16.5" customHeight="1" x14ac:dyDescent="0.25">
      <c r="A88" s="126"/>
      <c r="B88" s="144"/>
      <c r="C88" s="83" t="s">
        <v>101</v>
      </c>
      <c r="D88" s="74">
        <v>1.0629999999999999</v>
      </c>
      <c r="E88" s="75">
        <v>2626.1</v>
      </c>
      <c r="F88" s="75">
        <f t="shared" si="65"/>
        <v>2791.5442999999996</v>
      </c>
      <c r="G88" s="148">
        <v>2603</v>
      </c>
      <c r="H88" s="115"/>
      <c r="I88" s="115"/>
      <c r="J88" s="78"/>
      <c r="K88" s="78"/>
      <c r="L88" s="78">
        <v>4</v>
      </c>
      <c r="M88" s="78">
        <f>G88+L88</f>
        <v>2607</v>
      </c>
      <c r="N88" s="78">
        <f>M88-F88</f>
        <v>-184.54429999999957</v>
      </c>
      <c r="O88" s="78">
        <v>984.5</v>
      </c>
      <c r="P88" s="115">
        <v>756.4</v>
      </c>
      <c r="Q88" s="115">
        <v>228.1</v>
      </c>
      <c r="R88" s="115"/>
      <c r="S88" s="79">
        <f t="shared" si="66"/>
        <v>984.5</v>
      </c>
      <c r="T88" s="115"/>
      <c r="U88" s="115"/>
      <c r="V88" s="147">
        <f>T88+U88</f>
        <v>0</v>
      </c>
      <c r="W88" s="82">
        <v>4</v>
      </c>
      <c r="X88" s="83"/>
      <c r="Y88" s="83">
        <v>3</v>
      </c>
      <c r="Z88" s="83"/>
      <c r="AA88" s="83"/>
      <c r="AB88" s="84">
        <f t="shared" si="67"/>
        <v>-1</v>
      </c>
      <c r="AC88" s="122">
        <f t="shared" ref="AC88:AC155" si="68">Y88+AA88</f>
        <v>3</v>
      </c>
      <c r="AD88" s="85">
        <f t="shared" ref="AD88:AD155" si="69">AC88-W88</f>
        <v>-1</v>
      </c>
    </row>
    <row r="89" spans="1:30" ht="16.5" customHeight="1" x14ac:dyDescent="0.25">
      <c r="A89" s="126"/>
      <c r="B89" s="144"/>
      <c r="C89" s="83" t="s">
        <v>102</v>
      </c>
      <c r="D89" s="74">
        <v>0.621</v>
      </c>
      <c r="E89" s="75">
        <v>3073.9</v>
      </c>
      <c r="F89" s="75">
        <f t="shared" si="65"/>
        <v>1908.8919000000001</v>
      </c>
      <c r="G89" s="148">
        <v>1904.9</v>
      </c>
      <c r="H89" s="115"/>
      <c r="I89" s="115"/>
      <c r="J89" s="78"/>
      <c r="K89" s="78"/>
      <c r="L89" s="78">
        <v>4</v>
      </c>
      <c r="M89" s="78">
        <f>G89+L89</f>
        <v>1908.9</v>
      </c>
      <c r="N89" s="78">
        <f t="shared" ref="N89:N90" si="70">M89-F89</f>
        <v>8.1000000000130967E-3</v>
      </c>
      <c r="O89" s="78">
        <v>848.4</v>
      </c>
      <c r="P89" s="115">
        <v>658.1</v>
      </c>
      <c r="Q89" s="115">
        <v>190.3</v>
      </c>
      <c r="R89" s="115"/>
      <c r="S89" s="79">
        <f t="shared" si="66"/>
        <v>848.4</v>
      </c>
      <c r="T89" s="115"/>
      <c r="U89" s="115"/>
      <c r="V89" s="147">
        <f>T89+U89</f>
        <v>0</v>
      </c>
      <c r="W89" s="82">
        <v>3</v>
      </c>
      <c r="X89" s="83"/>
      <c r="Y89" s="83">
        <v>2</v>
      </c>
      <c r="Z89" s="83"/>
      <c r="AA89" s="83"/>
      <c r="AB89" s="84">
        <f t="shared" si="67"/>
        <v>-1</v>
      </c>
      <c r="AC89" s="122">
        <f t="shared" si="68"/>
        <v>2</v>
      </c>
      <c r="AD89" s="85">
        <f t="shared" si="69"/>
        <v>-1</v>
      </c>
    </row>
    <row r="90" spans="1:30" ht="16.5" customHeight="1" x14ac:dyDescent="0.25">
      <c r="A90" s="126"/>
      <c r="B90" s="144"/>
      <c r="C90" s="83" t="s">
        <v>103</v>
      </c>
      <c r="D90" s="74">
        <v>0.71099999999999997</v>
      </c>
      <c r="E90" s="75">
        <v>3257</v>
      </c>
      <c r="F90" s="75">
        <f t="shared" si="65"/>
        <v>2315.7269999999999</v>
      </c>
      <c r="G90" s="148">
        <v>2185.6</v>
      </c>
      <c r="H90" s="115"/>
      <c r="I90" s="115"/>
      <c r="J90" s="78"/>
      <c r="K90" s="78"/>
      <c r="L90" s="78">
        <v>4</v>
      </c>
      <c r="M90" s="78">
        <f>G90+L90</f>
        <v>2189.6</v>
      </c>
      <c r="N90" s="78">
        <f t="shared" si="70"/>
        <v>-126.12699999999995</v>
      </c>
      <c r="O90" s="78">
        <v>663.3</v>
      </c>
      <c r="P90" s="115">
        <v>520.5</v>
      </c>
      <c r="Q90" s="115">
        <v>142.80000000000001</v>
      </c>
      <c r="R90" s="115"/>
      <c r="S90" s="79">
        <f t="shared" si="66"/>
        <v>663.3</v>
      </c>
      <c r="T90" s="115"/>
      <c r="U90" s="115"/>
      <c r="V90" s="147">
        <f>T90+U90</f>
        <v>0</v>
      </c>
      <c r="W90" s="82">
        <v>3</v>
      </c>
      <c r="X90" s="83"/>
      <c r="Y90" s="83">
        <v>2</v>
      </c>
      <c r="Z90" s="83"/>
      <c r="AA90" s="83"/>
      <c r="AB90" s="84">
        <f t="shared" si="67"/>
        <v>-1</v>
      </c>
      <c r="AC90" s="122">
        <f t="shared" si="68"/>
        <v>2</v>
      </c>
      <c r="AD90" s="85">
        <f t="shared" si="69"/>
        <v>-1</v>
      </c>
    </row>
    <row r="91" spans="1:30" ht="16.5" customHeight="1" thickBot="1" x14ac:dyDescent="0.3">
      <c r="A91" s="126"/>
      <c r="B91" s="149"/>
      <c r="C91" s="99" t="s">
        <v>65</v>
      </c>
      <c r="D91" s="168"/>
      <c r="E91" s="92"/>
      <c r="F91" s="92"/>
      <c r="G91" s="154">
        <f t="shared" ref="G91:V91" si="71">ROUND(SUM(G86:G90),3)</f>
        <v>13204.5</v>
      </c>
      <c r="H91" s="154">
        <f t="shared" si="71"/>
        <v>0</v>
      </c>
      <c r="I91" s="154">
        <f t="shared" si="71"/>
        <v>0</v>
      </c>
      <c r="J91" s="154">
        <f t="shared" si="71"/>
        <v>0</v>
      </c>
      <c r="K91" s="154">
        <f t="shared" si="71"/>
        <v>0</v>
      </c>
      <c r="L91" s="154">
        <f t="shared" si="71"/>
        <v>18</v>
      </c>
      <c r="M91" s="154">
        <f t="shared" si="71"/>
        <v>13222.5</v>
      </c>
      <c r="N91" s="94"/>
      <c r="O91" s="154">
        <f t="shared" ref="O91:S91" si="72">ROUND(SUM(O86:O90),3)</f>
        <v>5472</v>
      </c>
      <c r="P91" s="154">
        <f t="shared" si="72"/>
        <v>4213.5</v>
      </c>
      <c r="Q91" s="154">
        <f t="shared" si="72"/>
        <v>1258.5</v>
      </c>
      <c r="R91" s="154">
        <f t="shared" si="72"/>
        <v>0</v>
      </c>
      <c r="S91" s="154">
        <f t="shared" si="72"/>
        <v>5472</v>
      </c>
      <c r="T91" s="154">
        <f t="shared" si="71"/>
        <v>0</v>
      </c>
      <c r="U91" s="154">
        <f t="shared" si="71"/>
        <v>0</v>
      </c>
      <c r="V91" s="169">
        <f t="shared" si="71"/>
        <v>0</v>
      </c>
      <c r="W91" s="125"/>
      <c r="X91" s="183">
        <f t="shared" ref="X91:AA91" si="73">ROUND(SUM(X86:X90),3)</f>
        <v>0</v>
      </c>
      <c r="Y91" s="154">
        <f t="shared" si="73"/>
        <v>13.5</v>
      </c>
      <c r="Z91" s="154">
        <f t="shared" si="73"/>
        <v>0</v>
      </c>
      <c r="AA91" s="154">
        <f t="shared" si="73"/>
        <v>0</v>
      </c>
      <c r="AB91" s="99"/>
      <c r="AC91" s="154">
        <f t="shared" si="68"/>
        <v>13.5</v>
      </c>
      <c r="AD91" s="101"/>
    </row>
    <row r="92" spans="1:30" ht="16.5" customHeight="1" x14ac:dyDescent="0.25">
      <c r="A92" s="126"/>
      <c r="B92" s="139" t="s">
        <v>44</v>
      </c>
      <c r="C92" s="66" t="s">
        <v>104</v>
      </c>
      <c r="D92" s="103">
        <v>11.699</v>
      </c>
      <c r="E92" s="104">
        <v>1321</v>
      </c>
      <c r="F92" s="104">
        <f t="shared" ref="F92:F138" si="74">E92*D92</f>
        <v>15454.378999999999</v>
      </c>
      <c r="G92" s="140">
        <v>14328.5</v>
      </c>
      <c r="H92" s="141"/>
      <c r="I92" s="141"/>
      <c r="J92" s="106"/>
      <c r="K92" s="106"/>
      <c r="L92" s="106">
        <v>1125.8</v>
      </c>
      <c r="M92" s="106">
        <f t="shared" ref="M92:M98" si="75">G92+L92</f>
        <v>15454.3</v>
      </c>
      <c r="N92" s="106">
        <f t="shared" ref="N92:N98" si="76">M92-F92</f>
        <v>-7.8999999999723514E-2</v>
      </c>
      <c r="O92" s="106">
        <v>6143.8</v>
      </c>
      <c r="P92" s="141">
        <v>4743.7</v>
      </c>
      <c r="Q92" s="141">
        <v>1400.1</v>
      </c>
      <c r="R92" s="141"/>
      <c r="S92" s="107">
        <f t="shared" ref="S92:S98" si="77">O92+R92</f>
        <v>6143.8</v>
      </c>
      <c r="T92" s="141"/>
      <c r="U92" s="141"/>
      <c r="V92" s="142">
        <f t="shared" ref="V92:V98" si="78">T92+U92</f>
        <v>0</v>
      </c>
      <c r="W92" s="110">
        <v>15</v>
      </c>
      <c r="X92" s="66"/>
      <c r="Y92" s="66">
        <v>14</v>
      </c>
      <c r="Z92" s="66"/>
      <c r="AA92" s="66"/>
      <c r="AB92" s="111">
        <f t="shared" ref="AB92:AB98" si="79">(Y92+AA92)-W92</f>
        <v>-1</v>
      </c>
      <c r="AC92" s="143">
        <f t="shared" si="68"/>
        <v>14</v>
      </c>
      <c r="AD92" s="112">
        <f t="shared" si="69"/>
        <v>-1</v>
      </c>
    </row>
    <row r="93" spans="1:30" ht="16.5" customHeight="1" x14ac:dyDescent="0.25">
      <c r="A93" s="126"/>
      <c r="B93" s="144"/>
      <c r="C93" s="83" t="s">
        <v>105</v>
      </c>
      <c r="D93" s="74">
        <v>0.874</v>
      </c>
      <c r="E93" s="75">
        <v>3366.1</v>
      </c>
      <c r="F93" s="75">
        <f t="shared" si="74"/>
        <v>2941.9713999999999</v>
      </c>
      <c r="G93" s="148">
        <v>2553.1</v>
      </c>
      <c r="H93" s="115"/>
      <c r="I93" s="115"/>
      <c r="J93" s="78"/>
      <c r="K93" s="78"/>
      <c r="L93" s="78">
        <f>73.2-51.2</f>
        <v>22</v>
      </c>
      <c r="M93" s="78">
        <f t="shared" si="75"/>
        <v>2575.1</v>
      </c>
      <c r="N93" s="78">
        <f t="shared" si="76"/>
        <v>-366.87139999999999</v>
      </c>
      <c r="O93" s="78">
        <v>1473.8</v>
      </c>
      <c r="P93" s="115">
        <v>1100</v>
      </c>
      <c r="Q93" s="115">
        <v>373.8</v>
      </c>
      <c r="R93" s="115"/>
      <c r="S93" s="79">
        <f t="shared" si="77"/>
        <v>1473.8</v>
      </c>
      <c r="T93" s="115"/>
      <c r="U93" s="115"/>
      <c r="V93" s="147">
        <f t="shared" si="78"/>
        <v>0</v>
      </c>
      <c r="W93" s="82">
        <v>4</v>
      </c>
      <c r="X93" s="83"/>
      <c r="Y93" s="83">
        <v>4</v>
      </c>
      <c r="Z93" s="83"/>
      <c r="AA93" s="83"/>
      <c r="AB93" s="84">
        <f t="shared" si="79"/>
        <v>0</v>
      </c>
      <c r="AC93" s="122">
        <f t="shared" si="68"/>
        <v>4</v>
      </c>
      <c r="AD93" s="85">
        <f t="shared" si="69"/>
        <v>0</v>
      </c>
    </row>
    <row r="94" spans="1:30" ht="16.5" customHeight="1" x14ac:dyDescent="0.25">
      <c r="A94" s="126"/>
      <c r="B94" s="144"/>
      <c r="C94" s="83" t="s">
        <v>106</v>
      </c>
      <c r="D94" s="74">
        <v>1.073</v>
      </c>
      <c r="E94" s="75">
        <v>3297.2</v>
      </c>
      <c r="F94" s="75">
        <f t="shared" si="74"/>
        <v>3537.8955999999998</v>
      </c>
      <c r="G94" s="148">
        <v>3172.3</v>
      </c>
      <c r="H94" s="115"/>
      <c r="I94" s="115"/>
      <c r="J94" s="78"/>
      <c r="K94" s="78"/>
      <c r="L94" s="78">
        <f>84.7-51.2</f>
        <v>33.5</v>
      </c>
      <c r="M94" s="78">
        <f t="shared" si="75"/>
        <v>3205.8</v>
      </c>
      <c r="N94" s="78">
        <f t="shared" si="76"/>
        <v>-332.09559999999965</v>
      </c>
      <c r="O94" s="78">
        <v>1441.8</v>
      </c>
      <c r="P94" s="115">
        <v>1113.2</v>
      </c>
      <c r="Q94" s="115">
        <v>328.6</v>
      </c>
      <c r="R94" s="115"/>
      <c r="S94" s="79">
        <f t="shared" si="77"/>
        <v>1441.8</v>
      </c>
      <c r="T94" s="115"/>
      <c r="U94" s="115"/>
      <c r="V94" s="147">
        <f t="shared" si="78"/>
        <v>0</v>
      </c>
      <c r="W94" s="82">
        <v>4</v>
      </c>
      <c r="X94" s="83"/>
      <c r="Y94" s="83">
        <v>4</v>
      </c>
      <c r="Z94" s="83"/>
      <c r="AA94" s="83"/>
      <c r="AB94" s="84">
        <f t="shared" si="79"/>
        <v>0</v>
      </c>
      <c r="AC94" s="122">
        <f t="shared" si="68"/>
        <v>4</v>
      </c>
      <c r="AD94" s="85">
        <f t="shared" si="69"/>
        <v>0</v>
      </c>
    </row>
    <row r="95" spans="1:30" ht="16.5" customHeight="1" x14ac:dyDescent="0.25">
      <c r="A95" s="126"/>
      <c r="B95" s="144"/>
      <c r="C95" s="117" t="s">
        <v>107</v>
      </c>
      <c r="D95" s="74">
        <v>0.57599999999999996</v>
      </c>
      <c r="E95" s="75">
        <v>3181.7</v>
      </c>
      <c r="F95" s="75">
        <f t="shared" si="74"/>
        <v>1832.6591999999998</v>
      </c>
      <c r="G95" s="148">
        <v>1824.8</v>
      </c>
      <c r="H95" s="115"/>
      <c r="I95" s="115"/>
      <c r="J95" s="78"/>
      <c r="K95" s="78"/>
      <c r="L95" s="78">
        <f>11.6-51.2</f>
        <v>-39.6</v>
      </c>
      <c r="M95" s="78">
        <f t="shared" si="75"/>
        <v>1785.2</v>
      </c>
      <c r="N95" s="78">
        <f t="shared" si="76"/>
        <v>-47.459199999999782</v>
      </c>
      <c r="O95" s="78">
        <v>706</v>
      </c>
      <c r="P95" s="115">
        <v>542.20000000000005</v>
      </c>
      <c r="Q95" s="115">
        <v>163.80000000000001</v>
      </c>
      <c r="R95" s="115"/>
      <c r="S95" s="79">
        <f t="shared" si="77"/>
        <v>706</v>
      </c>
      <c r="T95" s="115"/>
      <c r="U95" s="115"/>
      <c r="V95" s="147">
        <f t="shared" si="78"/>
        <v>0</v>
      </c>
      <c r="W95" s="82">
        <v>3</v>
      </c>
      <c r="X95" s="83"/>
      <c r="Y95" s="83">
        <v>3</v>
      </c>
      <c r="Z95" s="83"/>
      <c r="AA95" s="83"/>
      <c r="AB95" s="84">
        <f t="shared" si="79"/>
        <v>0</v>
      </c>
      <c r="AC95" s="122">
        <f t="shared" si="68"/>
        <v>3</v>
      </c>
      <c r="AD95" s="85">
        <f t="shared" si="69"/>
        <v>0</v>
      </c>
    </row>
    <row r="96" spans="1:30" ht="16.5" customHeight="1" x14ac:dyDescent="0.25">
      <c r="A96" s="126"/>
      <c r="B96" s="144"/>
      <c r="C96" s="83" t="s">
        <v>108</v>
      </c>
      <c r="D96" s="74">
        <v>1.5720000000000001</v>
      </c>
      <c r="E96" s="75">
        <v>2104.6999999999998</v>
      </c>
      <c r="F96" s="75">
        <f t="shared" si="74"/>
        <v>3308.5883999999996</v>
      </c>
      <c r="G96" s="148">
        <v>3213.1</v>
      </c>
      <c r="H96" s="115"/>
      <c r="I96" s="115"/>
      <c r="J96" s="78"/>
      <c r="K96" s="78"/>
      <c r="L96" s="78">
        <f>84.7-51.2</f>
        <v>33.5</v>
      </c>
      <c r="M96" s="78">
        <f t="shared" si="75"/>
        <v>3246.6</v>
      </c>
      <c r="N96" s="78">
        <f t="shared" si="76"/>
        <v>-61.988399999999729</v>
      </c>
      <c r="O96" s="78">
        <v>1726.6</v>
      </c>
      <c r="P96" s="115">
        <v>1330.4</v>
      </c>
      <c r="Q96" s="115">
        <v>396.2</v>
      </c>
      <c r="R96" s="115"/>
      <c r="S96" s="79">
        <f t="shared" si="77"/>
        <v>1726.6</v>
      </c>
      <c r="T96" s="115"/>
      <c r="U96" s="115"/>
      <c r="V96" s="147">
        <f t="shared" si="78"/>
        <v>0</v>
      </c>
      <c r="W96" s="82">
        <v>4</v>
      </c>
      <c r="X96" s="83"/>
      <c r="Y96" s="83">
        <v>4</v>
      </c>
      <c r="Z96" s="83"/>
      <c r="AA96" s="83"/>
      <c r="AB96" s="84">
        <f t="shared" si="79"/>
        <v>0</v>
      </c>
      <c r="AC96" s="122">
        <f t="shared" si="68"/>
        <v>4</v>
      </c>
      <c r="AD96" s="85">
        <f t="shared" si="69"/>
        <v>0</v>
      </c>
    </row>
    <row r="97" spans="1:30" ht="16.5" customHeight="1" x14ac:dyDescent="0.25">
      <c r="A97" s="126"/>
      <c r="B97" s="144"/>
      <c r="C97" s="83" t="s">
        <v>109</v>
      </c>
      <c r="D97" s="74">
        <v>2.67</v>
      </c>
      <c r="E97" s="75">
        <v>1806.1</v>
      </c>
      <c r="F97" s="75">
        <f t="shared" si="74"/>
        <v>4822.2869999999994</v>
      </c>
      <c r="G97" s="148">
        <v>4736.2</v>
      </c>
      <c r="H97" s="115"/>
      <c r="I97" s="115"/>
      <c r="J97" s="78"/>
      <c r="K97" s="78"/>
      <c r="L97" s="78">
        <f>107.9-51.2</f>
        <v>56.7</v>
      </c>
      <c r="M97" s="78">
        <f t="shared" si="75"/>
        <v>4792.8999999999996</v>
      </c>
      <c r="N97" s="78">
        <f t="shared" si="76"/>
        <v>-29.386999999999716</v>
      </c>
      <c r="O97" s="78"/>
      <c r="P97" s="115"/>
      <c r="Q97" s="115"/>
      <c r="R97" s="115"/>
      <c r="S97" s="79"/>
      <c r="T97" s="115"/>
      <c r="U97" s="115"/>
      <c r="V97" s="147"/>
      <c r="W97" s="82">
        <v>5</v>
      </c>
      <c r="X97" s="83"/>
      <c r="Y97" s="83">
        <v>4</v>
      </c>
      <c r="Z97" s="83"/>
      <c r="AA97" s="83"/>
      <c r="AB97" s="84">
        <f t="shared" si="79"/>
        <v>-1</v>
      </c>
      <c r="AC97" s="122">
        <f t="shared" si="68"/>
        <v>4</v>
      </c>
      <c r="AD97" s="85">
        <f t="shared" si="69"/>
        <v>-1</v>
      </c>
    </row>
    <row r="98" spans="1:30" ht="15.75" x14ac:dyDescent="0.25">
      <c r="A98" s="126"/>
      <c r="B98" s="144"/>
      <c r="C98" s="83" t="s">
        <v>110</v>
      </c>
      <c r="D98" s="74">
        <v>1.1399999999999999</v>
      </c>
      <c r="E98" s="75">
        <v>2507</v>
      </c>
      <c r="F98" s="75">
        <f t="shared" si="74"/>
        <v>2857.9799999999996</v>
      </c>
      <c r="G98" s="148">
        <v>2824.3</v>
      </c>
      <c r="H98" s="115"/>
      <c r="I98" s="115"/>
      <c r="J98" s="78"/>
      <c r="K98" s="78"/>
      <c r="L98" s="78">
        <f>73.2-51.2</f>
        <v>22</v>
      </c>
      <c r="M98" s="78">
        <f t="shared" si="75"/>
        <v>2846.3</v>
      </c>
      <c r="N98" s="78">
        <f t="shared" si="76"/>
        <v>-11.679999999999382</v>
      </c>
      <c r="O98" s="78">
        <v>1177.0999999999999</v>
      </c>
      <c r="P98" s="115">
        <v>904.7</v>
      </c>
      <c r="Q98" s="115">
        <v>272.39999999999998</v>
      </c>
      <c r="R98" s="115"/>
      <c r="S98" s="79">
        <f t="shared" si="77"/>
        <v>1177.0999999999999</v>
      </c>
      <c r="T98" s="115"/>
      <c r="U98" s="115"/>
      <c r="V98" s="147">
        <f t="shared" si="78"/>
        <v>0</v>
      </c>
      <c r="W98" s="82">
        <v>4</v>
      </c>
      <c r="X98" s="83"/>
      <c r="Y98" s="83">
        <v>3</v>
      </c>
      <c r="Z98" s="83"/>
      <c r="AA98" s="83"/>
      <c r="AB98" s="84">
        <f t="shared" si="79"/>
        <v>-1</v>
      </c>
      <c r="AC98" s="122">
        <f t="shared" si="68"/>
        <v>3</v>
      </c>
      <c r="AD98" s="85">
        <f t="shared" si="69"/>
        <v>-1</v>
      </c>
    </row>
    <row r="99" spans="1:30" ht="16.5" thickBot="1" x14ac:dyDescent="0.3">
      <c r="A99" s="126"/>
      <c r="B99" s="149"/>
      <c r="C99" s="99" t="s">
        <v>65</v>
      </c>
      <c r="D99" s="150"/>
      <c r="E99" s="92"/>
      <c r="F99" s="92"/>
      <c r="G99" s="151">
        <f t="shared" ref="G99:L99" si="80">ROUND(SUM(G92:G98),3)</f>
        <v>32652.3</v>
      </c>
      <c r="H99" s="151">
        <f t="shared" si="80"/>
        <v>0</v>
      </c>
      <c r="I99" s="151">
        <f t="shared" si="80"/>
        <v>0</v>
      </c>
      <c r="J99" s="151">
        <f t="shared" si="80"/>
        <v>0</v>
      </c>
      <c r="K99" s="151">
        <f t="shared" si="80"/>
        <v>0</v>
      </c>
      <c r="L99" s="151">
        <f t="shared" si="80"/>
        <v>1253.9000000000001</v>
      </c>
      <c r="M99" s="151">
        <f>ROUND(SUM(M92:M98),3)</f>
        <v>33906.199999999997</v>
      </c>
      <c r="N99" s="94"/>
      <c r="O99" s="151">
        <f t="shared" ref="O99:V99" si="81">ROUND(SUM(O92:O98),3)</f>
        <v>12669.1</v>
      </c>
      <c r="P99" s="151">
        <f t="shared" si="81"/>
        <v>9734.2000000000007</v>
      </c>
      <c r="Q99" s="151">
        <f t="shared" si="81"/>
        <v>2934.9</v>
      </c>
      <c r="R99" s="151">
        <f t="shared" si="81"/>
        <v>0</v>
      </c>
      <c r="S99" s="151">
        <f t="shared" si="81"/>
        <v>12669.1</v>
      </c>
      <c r="T99" s="151">
        <f t="shared" si="81"/>
        <v>0</v>
      </c>
      <c r="U99" s="151">
        <f t="shared" si="81"/>
        <v>0</v>
      </c>
      <c r="V99" s="152">
        <f t="shared" si="81"/>
        <v>0</v>
      </c>
      <c r="W99" s="153"/>
      <c r="X99" s="151">
        <f>ROUND(SUM(X92:X98),3)</f>
        <v>0</v>
      </c>
      <c r="Y99" s="151">
        <f>ROUND(SUM(Y92:Y98),3)</f>
        <v>36</v>
      </c>
      <c r="Z99" s="151">
        <f>ROUND(SUM(Z92:Z98),3)</f>
        <v>0</v>
      </c>
      <c r="AA99" s="151">
        <f>ROUND(SUM(AA92:AA98),3)</f>
        <v>0</v>
      </c>
      <c r="AB99" s="99"/>
      <c r="AC99" s="154">
        <f t="shared" si="68"/>
        <v>36</v>
      </c>
      <c r="AD99" s="101"/>
    </row>
    <row r="100" spans="1:30" ht="18" customHeight="1" x14ac:dyDescent="0.25">
      <c r="A100" s="126"/>
      <c r="B100" s="184" t="s">
        <v>111</v>
      </c>
      <c r="C100" s="66" t="s">
        <v>112</v>
      </c>
      <c r="D100" s="185">
        <v>7.9480000000000004</v>
      </c>
      <c r="E100" s="104">
        <v>0</v>
      </c>
      <c r="F100" s="103"/>
      <c r="G100" s="186">
        <v>0</v>
      </c>
      <c r="H100" s="186"/>
      <c r="I100" s="186"/>
      <c r="J100" s="186"/>
      <c r="K100" s="186"/>
      <c r="L100" s="186">
        <v>0</v>
      </c>
      <c r="M100" s="186">
        <v>0</v>
      </c>
      <c r="N100" s="186">
        <v>0</v>
      </c>
      <c r="O100" s="186"/>
      <c r="P100" s="186"/>
      <c r="Q100" s="186"/>
      <c r="R100" s="186"/>
      <c r="S100" s="186"/>
      <c r="T100" s="186"/>
      <c r="U100" s="186"/>
      <c r="V100" s="186"/>
      <c r="W100" s="186">
        <v>0</v>
      </c>
      <c r="X100" s="186"/>
      <c r="Y100" s="186">
        <v>0</v>
      </c>
      <c r="Z100" s="186"/>
      <c r="AA100" s="186">
        <v>0</v>
      </c>
      <c r="AB100" s="186">
        <v>0</v>
      </c>
      <c r="AC100" s="186">
        <v>0</v>
      </c>
      <c r="AD100" s="112">
        <v>0</v>
      </c>
    </row>
    <row r="101" spans="1:30" ht="15.75" customHeight="1" x14ac:dyDescent="0.25">
      <c r="A101" s="126"/>
      <c r="B101" s="187"/>
      <c r="C101" s="188" t="s">
        <v>113</v>
      </c>
      <c r="D101" s="172">
        <v>1.512</v>
      </c>
      <c r="E101" s="173">
        <v>2165</v>
      </c>
      <c r="F101" s="173">
        <f t="shared" si="74"/>
        <v>3273.48</v>
      </c>
      <c r="G101" s="189">
        <v>2843.2310000000002</v>
      </c>
      <c r="H101" s="188"/>
      <c r="I101" s="188"/>
      <c r="J101" s="176"/>
      <c r="K101" s="176"/>
      <c r="L101" s="176"/>
      <c r="M101" s="176">
        <f>G101+L101</f>
        <v>2843.2310000000002</v>
      </c>
      <c r="N101" s="176">
        <f>M101-F101</f>
        <v>-430.2489999999998</v>
      </c>
      <c r="O101" s="176">
        <v>1330.9</v>
      </c>
      <c r="P101" s="188">
        <v>1037.4000000000001</v>
      </c>
      <c r="Q101" s="188">
        <v>293.5</v>
      </c>
      <c r="R101" s="188">
        <f>-37.4</f>
        <v>-37.4</v>
      </c>
      <c r="S101" s="177">
        <f t="shared" ref="S101:S105" si="82">O101+R101</f>
        <v>1293.5</v>
      </c>
      <c r="T101" s="188"/>
      <c r="U101" s="188"/>
      <c r="V101" s="178">
        <f>T101+U101</f>
        <v>0</v>
      </c>
      <c r="W101" s="179">
        <v>4</v>
      </c>
      <c r="X101" s="171"/>
      <c r="Y101" s="171">
        <v>3</v>
      </c>
      <c r="Z101" s="171"/>
      <c r="AA101" s="171"/>
      <c r="AB101" s="180">
        <f t="shared" ref="AB101:AB105" si="83">(Y101+AA101)-W101</f>
        <v>-1</v>
      </c>
      <c r="AC101" s="181">
        <f t="shared" si="68"/>
        <v>3</v>
      </c>
      <c r="AD101" s="182">
        <f t="shared" si="69"/>
        <v>-1</v>
      </c>
    </row>
    <row r="102" spans="1:30" ht="15.75" x14ac:dyDescent="0.25">
      <c r="A102" s="126"/>
      <c r="B102" s="187"/>
      <c r="C102" s="115" t="s">
        <v>114</v>
      </c>
      <c r="D102" s="74">
        <v>1.8320000000000001</v>
      </c>
      <c r="E102" s="75">
        <v>1899.2</v>
      </c>
      <c r="F102" s="75">
        <f t="shared" si="74"/>
        <v>3479.3344000000002</v>
      </c>
      <c r="G102" s="148">
        <v>3434.2</v>
      </c>
      <c r="H102" s="115"/>
      <c r="I102" s="115"/>
      <c r="J102" s="78"/>
      <c r="K102" s="78"/>
      <c r="L102" s="78"/>
      <c r="M102" s="78">
        <f>G102+L102</f>
        <v>3434.2</v>
      </c>
      <c r="N102" s="78">
        <f>M102-F102</f>
        <v>-45.134400000000369</v>
      </c>
      <c r="O102" s="78">
        <v>1994.6</v>
      </c>
      <c r="P102" s="115">
        <v>1511.8</v>
      </c>
      <c r="Q102" s="115">
        <v>482.8</v>
      </c>
      <c r="R102" s="115">
        <f>-61.7</f>
        <v>-61.7</v>
      </c>
      <c r="S102" s="79">
        <f t="shared" si="82"/>
        <v>1932.8999999999999</v>
      </c>
      <c r="T102" s="115"/>
      <c r="U102" s="115"/>
      <c r="V102" s="147">
        <f>T102+U102</f>
        <v>0</v>
      </c>
      <c r="W102" s="82">
        <v>5</v>
      </c>
      <c r="X102" s="83"/>
      <c r="Y102" s="83">
        <v>5</v>
      </c>
      <c r="Z102" s="83"/>
      <c r="AA102" s="83"/>
      <c r="AB102" s="84">
        <f t="shared" si="83"/>
        <v>0</v>
      </c>
      <c r="AC102" s="122">
        <f t="shared" si="68"/>
        <v>5</v>
      </c>
      <c r="AD102" s="85">
        <f t="shared" si="69"/>
        <v>0</v>
      </c>
    </row>
    <row r="103" spans="1:30" ht="15.75" customHeight="1" x14ac:dyDescent="0.25">
      <c r="A103" s="126"/>
      <c r="B103" s="187"/>
      <c r="C103" s="115" t="s">
        <v>73</v>
      </c>
      <c r="D103" s="74">
        <v>1.2849999999999999</v>
      </c>
      <c r="E103" s="75">
        <v>1892.7</v>
      </c>
      <c r="F103" s="75">
        <f t="shared" si="74"/>
        <v>2432.1194999999998</v>
      </c>
      <c r="G103" s="148">
        <v>2386.4</v>
      </c>
      <c r="H103" s="115"/>
      <c r="I103" s="115"/>
      <c r="J103" s="78"/>
      <c r="K103" s="78"/>
      <c r="L103" s="78"/>
      <c r="M103" s="78">
        <f>G103+L103</f>
        <v>2386.4</v>
      </c>
      <c r="N103" s="78">
        <f>M103-F103</f>
        <v>-45.719499999999698</v>
      </c>
      <c r="O103" s="78">
        <v>1144.8</v>
      </c>
      <c r="P103" s="115">
        <v>879.3</v>
      </c>
      <c r="Q103" s="115">
        <v>265.5</v>
      </c>
      <c r="R103" s="115">
        <f>-31.5</f>
        <v>-31.5</v>
      </c>
      <c r="S103" s="79">
        <f t="shared" si="82"/>
        <v>1113.3</v>
      </c>
      <c r="T103" s="115"/>
      <c r="U103" s="115"/>
      <c r="V103" s="147">
        <f>T103+U103</f>
        <v>0</v>
      </c>
      <c r="W103" s="82">
        <v>4</v>
      </c>
      <c r="X103" s="83"/>
      <c r="Y103" s="83">
        <v>4</v>
      </c>
      <c r="Z103" s="83"/>
      <c r="AA103" s="83"/>
      <c r="AB103" s="84">
        <f t="shared" si="83"/>
        <v>0</v>
      </c>
      <c r="AC103" s="122">
        <f t="shared" si="68"/>
        <v>4</v>
      </c>
      <c r="AD103" s="85">
        <f t="shared" si="69"/>
        <v>0</v>
      </c>
    </row>
    <row r="104" spans="1:30" ht="15.75" x14ac:dyDescent="0.25">
      <c r="A104" s="126"/>
      <c r="B104" s="187"/>
      <c r="C104" s="115" t="s">
        <v>115</v>
      </c>
      <c r="D104" s="74">
        <v>5.14</v>
      </c>
      <c r="E104" s="75">
        <v>1028.8</v>
      </c>
      <c r="F104" s="75">
        <f t="shared" si="74"/>
        <v>5288.0319999999992</v>
      </c>
      <c r="G104" s="148">
        <v>5288</v>
      </c>
      <c r="H104" s="115"/>
      <c r="I104" s="115"/>
      <c r="J104" s="78"/>
      <c r="K104" s="78"/>
      <c r="L104" s="78"/>
      <c r="M104" s="78">
        <f>G104+L104</f>
        <v>5288</v>
      </c>
      <c r="N104" s="78">
        <f>M104-F104</f>
        <v>-3.19999999992433E-2</v>
      </c>
      <c r="O104" s="78">
        <v>2890.4</v>
      </c>
      <c r="P104" s="115">
        <v>2225.3000000000002</v>
      </c>
      <c r="Q104" s="115">
        <v>665.1</v>
      </c>
      <c r="R104" s="115">
        <f>-117.4</f>
        <v>-117.4</v>
      </c>
      <c r="S104" s="79">
        <f t="shared" si="82"/>
        <v>2773</v>
      </c>
      <c r="T104" s="115"/>
      <c r="U104" s="115"/>
      <c r="V104" s="147">
        <f>T104+U104</f>
        <v>0</v>
      </c>
      <c r="W104" s="82">
        <v>6</v>
      </c>
      <c r="X104" s="83"/>
      <c r="Y104" s="83">
        <v>6</v>
      </c>
      <c r="Z104" s="83"/>
      <c r="AA104" s="83"/>
      <c r="AB104" s="84">
        <f t="shared" si="83"/>
        <v>0</v>
      </c>
      <c r="AC104" s="122">
        <f t="shared" si="68"/>
        <v>6</v>
      </c>
      <c r="AD104" s="85">
        <f t="shared" si="69"/>
        <v>0</v>
      </c>
    </row>
    <row r="105" spans="1:30" ht="15.75" x14ac:dyDescent="0.25">
      <c r="A105" s="126"/>
      <c r="B105" s="187"/>
      <c r="C105" s="115" t="s">
        <v>116</v>
      </c>
      <c r="D105" s="74">
        <v>1.6259999999999999</v>
      </c>
      <c r="E105" s="75">
        <v>2441.6999999999998</v>
      </c>
      <c r="F105" s="75">
        <f t="shared" si="74"/>
        <v>3970.2041999999992</v>
      </c>
      <c r="G105" s="148">
        <v>3970.2</v>
      </c>
      <c r="H105" s="115"/>
      <c r="I105" s="115"/>
      <c r="J105" s="78"/>
      <c r="K105" s="78"/>
      <c r="L105" s="78"/>
      <c r="M105" s="78">
        <f>G105+L105</f>
        <v>3970.2</v>
      </c>
      <c r="N105" s="78">
        <f>M105-F105</f>
        <v>-4.1999999994004611E-3</v>
      </c>
      <c r="O105" s="78">
        <v>1675.3</v>
      </c>
      <c r="P105" s="115">
        <v>1300</v>
      </c>
      <c r="Q105" s="115">
        <v>375.3</v>
      </c>
      <c r="R105" s="115">
        <f>-36.1</f>
        <v>-36.1</v>
      </c>
      <c r="S105" s="79">
        <f t="shared" si="82"/>
        <v>1639.2</v>
      </c>
      <c r="T105" s="115"/>
      <c r="U105" s="115"/>
      <c r="V105" s="147">
        <f>T105+U105</f>
        <v>0</v>
      </c>
      <c r="W105" s="82">
        <v>4</v>
      </c>
      <c r="X105" s="83"/>
      <c r="Y105" s="83">
        <v>4</v>
      </c>
      <c r="Z105" s="83"/>
      <c r="AA105" s="83"/>
      <c r="AB105" s="84">
        <f t="shared" si="83"/>
        <v>0</v>
      </c>
      <c r="AC105" s="122">
        <f t="shared" si="68"/>
        <v>4</v>
      </c>
      <c r="AD105" s="85">
        <f t="shared" si="69"/>
        <v>0</v>
      </c>
    </row>
    <row r="106" spans="1:30" ht="16.5" thickBot="1" x14ac:dyDescent="0.3">
      <c r="A106" s="126"/>
      <c r="B106" s="190"/>
      <c r="C106" s="99" t="s">
        <v>65</v>
      </c>
      <c r="D106" s="168"/>
      <c r="E106" s="92"/>
      <c r="F106" s="92"/>
      <c r="G106" s="154">
        <f t="shared" ref="G106:M106" si="84">ROUND(SUM(G101:G105),3)</f>
        <v>17922.030999999999</v>
      </c>
      <c r="H106" s="154">
        <f t="shared" si="84"/>
        <v>0</v>
      </c>
      <c r="I106" s="154">
        <f t="shared" si="84"/>
        <v>0</v>
      </c>
      <c r="J106" s="154">
        <f t="shared" si="84"/>
        <v>0</v>
      </c>
      <c r="K106" s="154">
        <f t="shared" si="84"/>
        <v>0</v>
      </c>
      <c r="L106" s="154">
        <f t="shared" si="84"/>
        <v>0</v>
      </c>
      <c r="M106" s="154">
        <f t="shared" si="84"/>
        <v>17922.030999999999</v>
      </c>
      <c r="N106" s="94"/>
      <c r="O106" s="154">
        <f t="shared" ref="O106:S106" si="85">ROUND(SUM(O101:O105),3)</f>
        <v>9036</v>
      </c>
      <c r="P106" s="154">
        <f t="shared" si="85"/>
        <v>6953.8</v>
      </c>
      <c r="Q106" s="154">
        <f t="shared" si="85"/>
        <v>2082.1999999999998</v>
      </c>
      <c r="R106" s="154">
        <f t="shared" si="85"/>
        <v>-284.10000000000002</v>
      </c>
      <c r="S106" s="154">
        <f t="shared" si="85"/>
        <v>8751.9</v>
      </c>
      <c r="T106" s="154">
        <f>ROUND(SUM(T101:T105),3)</f>
        <v>0</v>
      </c>
      <c r="U106" s="154">
        <f>ROUND(SUM(U101:U105),3)</f>
        <v>0</v>
      </c>
      <c r="V106" s="169">
        <f>ROUND(SUM(V101:V105),3)</f>
        <v>0</v>
      </c>
      <c r="W106" s="125"/>
      <c r="X106" s="154">
        <f t="shared" ref="X106:AA106" si="86">ROUND(SUM(X101:X105),3)</f>
        <v>0</v>
      </c>
      <c r="Y106" s="154">
        <f t="shared" si="86"/>
        <v>22</v>
      </c>
      <c r="Z106" s="154">
        <f t="shared" si="86"/>
        <v>0</v>
      </c>
      <c r="AA106" s="154">
        <f t="shared" si="86"/>
        <v>0</v>
      </c>
      <c r="AB106" s="99"/>
      <c r="AC106" s="154">
        <f t="shared" si="68"/>
        <v>22</v>
      </c>
      <c r="AD106" s="101"/>
    </row>
    <row r="107" spans="1:30" ht="15.75" x14ac:dyDescent="0.25">
      <c r="A107" s="126"/>
      <c r="B107" s="139" t="s">
        <v>46</v>
      </c>
      <c r="C107" s="191" t="s">
        <v>117</v>
      </c>
      <c r="D107" s="103">
        <v>7.532</v>
      </c>
      <c r="E107" s="104">
        <v>200.4</v>
      </c>
      <c r="F107" s="104">
        <f t="shared" si="74"/>
        <v>1509.4128000000001</v>
      </c>
      <c r="G107" s="140">
        <v>373.9</v>
      </c>
      <c r="H107" s="141"/>
      <c r="I107" s="141"/>
      <c r="J107" s="106"/>
      <c r="K107" s="106"/>
      <c r="L107" s="106">
        <v>255.6</v>
      </c>
      <c r="M107" s="106">
        <f>G107+L107</f>
        <v>629.5</v>
      </c>
      <c r="N107" s="106">
        <f>M107-F107</f>
        <v>-879.91280000000006</v>
      </c>
      <c r="O107" s="106"/>
      <c r="P107" s="141"/>
      <c r="Q107" s="141"/>
      <c r="R107" s="141"/>
      <c r="S107" s="105"/>
      <c r="T107" s="141"/>
      <c r="U107" s="141"/>
      <c r="V107" s="142">
        <f>T107+U107</f>
        <v>0</v>
      </c>
      <c r="W107" s="110">
        <v>1</v>
      </c>
      <c r="X107" s="66"/>
      <c r="Y107" s="66"/>
      <c r="Z107" s="66"/>
      <c r="AA107" s="66">
        <v>0.5</v>
      </c>
      <c r="AB107" s="111">
        <f t="shared" ref="AB107:AB111" si="87">(Y107+AA107)-W107</f>
        <v>-0.5</v>
      </c>
      <c r="AC107" s="143">
        <f t="shared" si="68"/>
        <v>0.5</v>
      </c>
      <c r="AD107" s="112">
        <f t="shared" si="69"/>
        <v>-0.5</v>
      </c>
    </row>
    <row r="108" spans="1:30" ht="15.75" x14ac:dyDescent="0.25">
      <c r="A108" s="126"/>
      <c r="B108" s="144"/>
      <c r="C108" s="166" t="s">
        <v>118</v>
      </c>
      <c r="D108" s="74">
        <v>2.895</v>
      </c>
      <c r="E108" s="75">
        <v>2395.6</v>
      </c>
      <c r="F108" s="75">
        <f t="shared" si="74"/>
        <v>6935.2619999999997</v>
      </c>
      <c r="G108" s="148">
        <v>6538.6</v>
      </c>
      <c r="H108" s="115"/>
      <c r="I108" s="115"/>
      <c r="J108" s="78"/>
      <c r="K108" s="78"/>
      <c r="L108" s="78">
        <v>27.5</v>
      </c>
      <c r="M108" s="78">
        <f>G108+L108</f>
        <v>6566.1</v>
      </c>
      <c r="N108" s="78">
        <f>M108-F108</f>
        <v>-369.16199999999935</v>
      </c>
      <c r="O108" s="78">
        <v>2372.1999999999998</v>
      </c>
      <c r="P108" s="115">
        <v>1822</v>
      </c>
      <c r="Q108" s="115">
        <v>550.20000000000005</v>
      </c>
      <c r="R108" s="115"/>
      <c r="S108" s="79">
        <f t="shared" ref="S108:S111" si="88">O108+R108</f>
        <v>2372.1999999999998</v>
      </c>
      <c r="T108" s="115"/>
      <c r="U108" s="115"/>
      <c r="V108" s="147">
        <f>T108+U108</f>
        <v>0</v>
      </c>
      <c r="W108" s="82">
        <v>5</v>
      </c>
      <c r="X108" s="83"/>
      <c r="Y108" s="83">
        <v>5</v>
      </c>
      <c r="Z108" s="83"/>
      <c r="AA108" s="83"/>
      <c r="AB108" s="84">
        <f t="shared" si="87"/>
        <v>0</v>
      </c>
      <c r="AC108" s="122">
        <f t="shared" si="68"/>
        <v>5</v>
      </c>
      <c r="AD108" s="85">
        <f t="shared" si="69"/>
        <v>0</v>
      </c>
    </row>
    <row r="109" spans="1:30" ht="15.75" x14ac:dyDescent="0.25">
      <c r="A109" s="126"/>
      <c r="B109" s="144"/>
      <c r="C109" s="115" t="s">
        <v>119</v>
      </c>
      <c r="D109" s="74">
        <v>3.04</v>
      </c>
      <c r="E109" s="75">
        <v>1226.3</v>
      </c>
      <c r="F109" s="75">
        <f t="shared" si="74"/>
        <v>3727.9519999999998</v>
      </c>
      <c r="G109" s="148">
        <v>3728</v>
      </c>
      <c r="H109" s="115"/>
      <c r="I109" s="115"/>
      <c r="J109" s="78"/>
      <c r="K109" s="78"/>
      <c r="L109" s="78"/>
      <c r="M109" s="78">
        <f>G109+L109</f>
        <v>3728</v>
      </c>
      <c r="N109" s="78">
        <f>M109-F109</f>
        <v>4.8000000000229193E-2</v>
      </c>
      <c r="O109" s="78">
        <v>1811</v>
      </c>
      <c r="P109" s="115">
        <v>1391</v>
      </c>
      <c r="Q109" s="115">
        <v>420</v>
      </c>
      <c r="R109" s="115"/>
      <c r="S109" s="79">
        <f t="shared" si="88"/>
        <v>1811</v>
      </c>
      <c r="T109" s="115"/>
      <c r="U109" s="115"/>
      <c r="V109" s="147">
        <f>T109+U109</f>
        <v>0</v>
      </c>
      <c r="W109" s="82">
        <v>5</v>
      </c>
      <c r="X109" s="83"/>
      <c r="Y109" s="83">
        <v>5</v>
      </c>
      <c r="Z109" s="83"/>
      <c r="AA109" s="83"/>
      <c r="AB109" s="84">
        <f t="shared" si="87"/>
        <v>0</v>
      </c>
      <c r="AC109" s="122">
        <f t="shared" si="68"/>
        <v>5</v>
      </c>
      <c r="AD109" s="85">
        <f t="shared" si="69"/>
        <v>0</v>
      </c>
    </row>
    <row r="110" spans="1:30" ht="15.75" x14ac:dyDescent="0.25">
      <c r="A110" s="126"/>
      <c r="B110" s="144"/>
      <c r="C110" s="192" t="s">
        <v>120</v>
      </c>
      <c r="D110" s="74">
        <v>1.325</v>
      </c>
      <c r="E110" s="75">
        <v>3727.3</v>
      </c>
      <c r="F110" s="75">
        <f t="shared" si="74"/>
        <v>4938.6724999999997</v>
      </c>
      <c r="G110" s="148">
        <v>4096.5</v>
      </c>
      <c r="H110" s="115"/>
      <c r="I110" s="115"/>
      <c r="J110" s="78"/>
      <c r="K110" s="78"/>
      <c r="L110" s="78"/>
      <c r="M110" s="78">
        <f>G110+L110</f>
        <v>4096.5</v>
      </c>
      <c r="N110" s="78">
        <f>M110-F110</f>
        <v>-842.17249999999967</v>
      </c>
      <c r="O110" s="78">
        <v>2158.6999999999998</v>
      </c>
      <c r="P110" s="115">
        <v>1664.9</v>
      </c>
      <c r="Q110" s="115">
        <v>493.8</v>
      </c>
      <c r="R110" s="115"/>
      <c r="S110" s="79">
        <f t="shared" si="88"/>
        <v>2158.6999999999998</v>
      </c>
      <c r="T110" s="115"/>
      <c r="U110" s="115"/>
      <c r="V110" s="147">
        <f>T110+U110</f>
        <v>0</v>
      </c>
      <c r="W110" s="82">
        <v>5</v>
      </c>
      <c r="X110" s="83"/>
      <c r="Y110" s="83">
        <v>5</v>
      </c>
      <c r="Z110" s="83"/>
      <c r="AA110" s="83"/>
      <c r="AB110" s="84">
        <f t="shared" si="87"/>
        <v>0</v>
      </c>
      <c r="AC110" s="122">
        <f t="shared" si="68"/>
        <v>5</v>
      </c>
      <c r="AD110" s="85">
        <f t="shared" si="69"/>
        <v>0</v>
      </c>
    </row>
    <row r="111" spans="1:30" ht="15.75" x14ac:dyDescent="0.25">
      <c r="A111" s="126"/>
      <c r="B111" s="144"/>
      <c r="C111" s="166" t="s">
        <v>121</v>
      </c>
      <c r="D111" s="74">
        <v>2.8849999999999998</v>
      </c>
      <c r="E111" s="75">
        <v>2093.9</v>
      </c>
      <c r="F111" s="75">
        <f t="shared" si="74"/>
        <v>6040.9014999999999</v>
      </c>
      <c r="G111" s="148">
        <v>5518.6</v>
      </c>
      <c r="H111" s="115"/>
      <c r="I111" s="115"/>
      <c r="J111" s="78"/>
      <c r="K111" s="78"/>
      <c r="L111" s="78">
        <v>27.4</v>
      </c>
      <c r="M111" s="78">
        <f>G111+L111</f>
        <v>5546</v>
      </c>
      <c r="N111" s="78">
        <f>M111-F111</f>
        <v>-494.90149999999994</v>
      </c>
      <c r="O111" s="78">
        <v>2111.6999999999998</v>
      </c>
      <c r="P111" s="115">
        <v>1696</v>
      </c>
      <c r="Q111" s="115">
        <v>415.8</v>
      </c>
      <c r="R111" s="115"/>
      <c r="S111" s="79">
        <f t="shared" si="88"/>
        <v>2111.6999999999998</v>
      </c>
      <c r="T111" s="115"/>
      <c r="U111" s="115"/>
      <c r="V111" s="147">
        <f>T111+U111</f>
        <v>0</v>
      </c>
      <c r="W111" s="82">
        <v>5</v>
      </c>
      <c r="X111" s="83"/>
      <c r="Y111" s="83">
        <v>5</v>
      </c>
      <c r="Z111" s="83"/>
      <c r="AA111" s="83"/>
      <c r="AB111" s="84">
        <f t="shared" si="87"/>
        <v>0</v>
      </c>
      <c r="AC111" s="122">
        <f t="shared" si="68"/>
        <v>5</v>
      </c>
      <c r="AD111" s="85">
        <f t="shared" si="69"/>
        <v>0</v>
      </c>
    </row>
    <row r="112" spans="1:30" ht="16.5" thickBot="1" x14ac:dyDescent="0.3">
      <c r="A112" s="126"/>
      <c r="B112" s="149"/>
      <c r="C112" s="99" t="s">
        <v>65</v>
      </c>
      <c r="D112" s="168"/>
      <c r="E112" s="92"/>
      <c r="F112" s="92"/>
      <c r="G112" s="154">
        <f>ROUND(SUM(G107:G111),3)</f>
        <v>20255.599999999999</v>
      </c>
      <c r="H112" s="154">
        <f t="shared" ref="H112:M112" si="89">ROUND(SUM(H107:H111),3)</f>
        <v>0</v>
      </c>
      <c r="I112" s="154">
        <f t="shared" si="89"/>
        <v>0</v>
      </c>
      <c r="J112" s="154">
        <f t="shared" si="89"/>
        <v>0</v>
      </c>
      <c r="K112" s="154">
        <f t="shared" si="89"/>
        <v>0</v>
      </c>
      <c r="L112" s="154">
        <f t="shared" si="89"/>
        <v>310.5</v>
      </c>
      <c r="M112" s="154">
        <f t="shared" si="89"/>
        <v>20566.099999999999</v>
      </c>
      <c r="N112" s="94"/>
      <c r="O112" s="154">
        <f t="shared" ref="O112:S112" si="90">ROUND(SUM(O107:O111),3)</f>
        <v>8453.6</v>
      </c>
      <c r="P112" s="154">
        <f t="shared" si="90"/>
        <v>6573.9</v>
      </c>
      <c r="Q112" s="154">
        <f t="shared" si="90"/>
        <v>1879.8</v>
      </c>
      <c r="R112" s="154">
        <f t="shared" si="90"/>
        <v>0</v>
      </c>
      <c r="S112" s="154">
        <f t="shared" si="90"/>
        <v>8453.6</v>
      </c>
      <c r="T112" s="154"/>
      <c r="U112" s="154">
        <f>ROUND(SUM(U107:U111),3)</f>
        <v>0</v>
      </c>
      <c r="V112" s="169">
        <f>ROUND(SUM(V107:V111),3)</f>
        <v>0</v>
      </c>
      <c r="W112" s="125"/>
      <c r="X112" s="154">
        <f t="shared" ref="X112:AA112" si="91">ROUND(SUM(X107:X111),3)</f>
        <v>0</v>
      </c>
      <c r="Y112" s="154">
        <f t="shared" si="91"/>
        <v>20</v>
      </c>
      <c r="Z112" s="154">
        <f t="shared" si="91"/>
        <v>0</v>
      </c>
      <c r="AA112" s="154">
        <f t="shared" si="91"/>
        <v>0.5</v>
      </c>
      <c r="AB112" s="99"/>
      <c r="AC112" s="154">
        <f t="shared" si="68"/>
        <v>20.5</v>
      </c>
      <c r="AD112" s="101"/>
    </row>
    <row r="113" spans="1:30" ht="15.75" x14ac:dyDescent="0.25">
      <c r="A113" s="126"/>
      <c r="B113" s="139" t="s">
        <v>47</v>
      </c>
      <c r="C113" s="66" t="s">
        <v>122</v>
      </c>
      <c r="D113" s="103">
        <v>2.5659999999999998</v>
      </c>
      <c r="E113" s="104">
        <v>0</v>
      </c>
      <c r="F113" s="104">
        <v>0</v>
      </c>
      <c r="G113" s="140"/>
      <c r="H113" s="141"/>
      <c r="I113" s="141"/>
      <c r="J113" s="106"/>
      <c r="K113" s="106"/>
      <c r="L113" s="106">
        <v>0</v>
      </c>
      <c r="M113" s="106">
        <v>0</v>
      </c>
      <c r="N113" s="106">
        <v>0</v>
      </c>
      <c r="O113" s="106"/>
      <c r="P113" s="141"/>
      <c r="Q113" s="141"/>
      <c r="R113" s="141"/>
      <c r="S113" s="105"/>
      <c r="T113" s="141"/>
      <c r="U113" s="141"/>
      <c r="V113" s="142">
        <f>T113+U113</f>
        <v>0</v>
      </c>
      <c r="W113" s="110">
        <v>0</v>
      </c>
      <c r="X113" s="66"/>
      <c r="Y113" s="66"/>
      <c r="Z113" s="66"/>
      <c r="AA113" s="66"/>
      <c r="AB113" s="111">
        <v>0</v>
      </c>
      <c r="AC113" s="143">
        <f t="shared" si="68"/>
        <v>0</v>
      </c>
      <c r="AD113" s="112">
        <f t="shared" si="69"/>
        <v>0</v>
      </c>
    </row>
    <row r="114" spans="1:30" ht="15.75" x14ac:dyDescent="0.25">
      <c r="A114" s="126"/>
      <c r="B114" s="144"/>
      <c r="C114" s="115" t="s">
        <v>123</v>
      </c>
      <c r="D114" s="74">
        <v>0.85899999999999999</v>
      </c>
      <c r="E114" s="75">
        <v>3068.9</v>
      </c>
      <c r="F114" s="75">
        <f t="shared" si="74"/>
        <v>2636.1851000000001</v>
      </c>
      <c r="G114" s="148">
        <v>2450.3000000000002</v>
      </c>
      <c r="H114" s="115"/>
      <c r="I114" s="115"/>
      <c r="J114" s="78"/>
      <c r="K114" s="78"/>
      <c r="L114" s="78">
        <v>100.3</v>
      </c>
      <c r="M114" s="78">
        <f>G114+L114</f>
        <v>2550.6000000000004</v>
      </c>
      <c r="N114" s="78">
        <f>M114-F114</f>
        <v>-85.585099999999784</v>
      </c>
      <c r="O114" s="78">
        <v>1152.4000000000001</v>
      </c>
      <c r="P114" s="115">
        <v>888.7</v>
      </c>
      <c r="Q114" s="115">
        <v>263.7</v>
      </c>
      <c r="R114" s="115"/>
      <c r="S114" s="79">
        <f t="shared" ref="S114:S117" si="92">O114+R114</f>
        <v>1152.4000000000001</v>
      </c>
      <c r="T114" s="115"/>
      <c r="U114" s="115"/>
      <c r="V114" s="147">
        <f>T114+U114</f>
        <v>0</v>
      </c>
      <c r="W114" s="82">
        <v>4</v>
      </c>
      <c r="X114" s="83"/>
      <c r="Y114" s="83">
        <v>4</v>
      </c>
      <c r="Z114" s="83"/>
      <c r="AA114" s="83"/>
      <c r="AB114" s="84">
        <f t="shared" ref="AB114:AB117" si="93">(Y114+AA114)-W114</f>
        <v>0</v>
      </c>
      <c r="AC114" s="122">
        <f t="shared" si="68"/>
        <v>4</v>
      </c>
      <c r="AD114" s="85">
        <f t="shared" si="69"/>
        <v>0</v>
      </c>
    </row>
    <row r="115" spans="1:30" ht="15.75" x14ac:dyDescent="0.25">
      <c r="A115" s="126"/>
      <c r="B115" s="144"/>
      <c r="C115" s="166" t="s">
        <v>124</v>
      </c>
      <c r="D115" s="74">
        <v>1.851</v>
      </c>
      <c r="E115" s="75">
        <v>2308.1</v>
      </c>
      <c r="F115" s="75">
        <f t="shared" si="74"/>
        <v>4272.2930999999999</v>
      </c>
      <c r="G115" s="148">
        <v>4053.9</v>
      </c>
      <c r="H115" s="115"/>
      <c r="I115" s="115"/>
      <c r="J115" s="78"/>
      <c r="K115" s="78"/>
      <c r="L115" s="78">
        <v>183.2</v>
      </c>
      <c r="M115" s="78">
        <f>G115+L115</f>
        <v>4237.1000000000004</v>
      </c>
      <c r="N115" s="78">
        <f>M115-F115</f>
        <v>-35.193099999999504</v>
      </c>
      <c r="O115" s="78">
        <v>1850.6</v>
      </c>
      <c r="P115" s="115">
        <v>1424.2</v>
      </c>
      <c r="Q115" s="115">
        <v>426.5</v>
      </c>
      <c r="R115" s="115"/>
      <c r="S115" s="79">
        <f t="shared" si="92"/>
        <v>1850.6</v>
      </c>
      <c r="T115" s="115"/>
      <c r="U115" s="115"/>
      <c r="V115" s="147">
        <f>T115+U115</f>
        <v>0</v>
      </c>
      <c r="W115" s="116">
        <v>7</v>
      </c>
      <c r="X115" s="83"/>
      <c r="Y115" s="83">
        <v>6</v>
      </c>
      <c r="Z115" s="83"/>
      <c r="AA115" s="83"/>
      <c r="AB115" s="84">
        <f t="shared" si="93"/>
        <v>-1</v>
      </c>
      <c r="AC115" s="122">
        <f t="shared" si="68"/>
        <v>6</v>
      </c>
      <c r="AD115" s="85">
        <f t="shared" si="69"/>
        <v>-1</v>
      </c>
    </row>
    <row r="116" spans="1:30" ht="15.75" x14ac:dyDescent="0.25">
      <c r="A116" s="126"/>
      <c r="B116" s="144"/>
      <c r="C116" s="115" t="s">
        <v>125</v>
      </c>
      <c r="D116" s="74">
        <v>0.91600000000000004</v>
      </c>
      <c r="E116" s="75">
        <v>2658.8</v>
      </c>
      <c r="F116" s="75">
        <f t="shared" si="74"/>
        <v>2435.4608000000003</v>
      </c>
      <c r="G116" s="148">
        <v>2328.3000000000002</v>
      </c>
      <c r="H116" s="115"/>
      <c r="I116" s="115"/>
      <c r="J116" s="78"/>
      <c r="K116" s="78"/>
      <c r="L116" s="78">
        <v>107.1</v>
      </c>
      <c r="M116" s="78">
        <f>G116+L116</f>
        <v>2435.4</v>
      </c>
      <c r="N116" s="78">
        <f>M116-F116</f>
        <v>-6.0800000000199361E-2</v>
      </c>
      <c r="O116" s="78">
        <v>1101.8</v>
      </c>
      <c r="P116" s="115">
        <v>832.1</v>
      </c>
      <c r="Q116" s="115">
        <v>269.60000000000002</v>
      </c>
      <c r="R116" s="115"/>
      <c r="S116" s="79">
        <f t="shared" si="92"/>
        <v>1101.8</v>
      </c>
      <c r="T116" s="115"/>
      <c r="U116" s="115"/>
      <c r="V116" s="147">
        <f>T116+U116</f>
        <v>0</v>
      </c>
      <c r="W116" s="82">
        <v>4</v>
      </c>
      <c r="X116" s="83"/>
      <c r="Y116" s="83">
        <v>4</v>
      </c>
      <c r="Z116" s="83"/>
      <c r="AA116" s="83"/>
      <c r="AB116" s="84">
        <f t="shared" si="93"/>
        <v>0</v>
      </c>
      <c r="AC116" s="122">
        <f t="shared" si="68"/>
        <v>4</v>
      </c>
      <c r="AD116" s="85">
        <f t="shared" si="69"/>
        <v>0</v>
      </c>
    </row>
    <row r="117" spans="1:30" ht="15.75" x14ac:dyDescent="0.25">
      <c r="A117" s="126"/>
      <c r="B117" s="144"/>
      <c r="C117" s="115" t="s">
        <v>126</v>
      </c>
      <c r="D117" s="74">
        <v>1.4650000000000001</v>
      </c>
      <c r="E117" s="75">
        <v>1847.2</v>
      </c>
      <c r="F117" s="75">
        <f t="shared" si="74"/>
        <v>2706.1480000000001</v>
      </c>
      <c r="G117" s="148">
        <v>2466.8000000000002</v>
      </c>
      <c r="H117" s="115"/>
      <c r="I117" s="115"/>
      <c r="J117" s="78"/>
      <c r="K117" s="78"/>
      <c r="L117" s="78">
        <v>176.4</v>
      </c>
      <c r="M117" s="78">
        <f>G117+L117</f>
        <v>2643.2000000000003</v>
      </c>
      <c r="N117" s="78">
        <f>M117-F117</f>
        <v>-62.947999999999865</v>
      </c>
      <c r="O117" s="78">
        <v>1349.4</v>
      </c>
      <c r="P117" s="115">
        <v>1038</v>
      </c>
      <c r="Q117" s="115">
        <v>311.39999999999998</v>
      </c>
      <c r="R117" s="115"/>
      <c r="S117" s="79">
        <f t="shared" si="92"/>
        <v>1349.4</v>
      </c>
      <c r="T117" s="115"/>
      <c r="U117" s="115"/>
      <c r="V117" s="147">
        <f>T117+U117</f>
        <v>0</v>
      </c>
      <c r="W117" s="82">
        <v>4</v>
      </c>
      <c r="X117" s="83"/>
      <c r="Y117" s="83">
        <v>4</v>
      </c>
      <c r="Z117" s="83"/>
      <c r="AA117" s="83"/>
      <c r="AB117" s="84">
        <f t="shared" si="93"/>
        <v>0</v>
      </c>
      <c r="AC117" s="122">
        <f t="shared" si="68"/>
        <v>4</v>
      </c>
      <c r="AD117" s="85">
        <f t="shared" si="69"/>
        <v>0</v>
      </c>
    </row>
    <row r="118" spans="1:30" ht="16.5" thickBot="1" x14ac:dyDescent="0.3">
      <c r="A118" s="126"/>
      <c r="B118" s="149"/>
      <c r="C118" s="99" t="s">
        <v>65</v>
      </c>
      <c r="D118" s="168"/>
      <c r="E118" s="92"/>
      <c r="F118" s="92"/>
      <c r="G118" s="154">
        <f t="shared" ref="G118:V118" si="94">ROUND(SUM(G113:G117),3)</f>
        <v>11299.3</v>
      </c>
      <c r="H118" s="154">
        <f t="shared" si="94"/>
        <v>0</v>
      </c>
      <c r="I118" s="154">
        <f t="shared" si="94"/>
        <v>0</v>
      </c>
      <c r="J118" s="154">
        <f t="shared" si="94"/>
        <v>0</v>
      </c>
      <c r="K118" s="154">
        <f t="shared" si="94"/>
        <v>0</v>
      </c>
      <c r="L118" s="154">
        <f t="shared" si="94"/>
        <v>567</v>
      </c>
      <c r="M118" s="154">
        <f t="shared" si="94"/>
        <v>11866.3</v>
      </c>
      <c r="N118" s="94"/>
      <c r="O118" s="154">
        <f t="shared" ref="O118:Q118" si="95">ROUND(SUM(O113:O117),3)</f>
        <v>5454.2</v>
      </c>
      <c r="P118" s="154">
        <f t="shared" si="95"/>
        <v>4183</v>
      </c>
      <c r="Q118" s="154">
        <f t="shared" si="95"/>
        <v>1271.2</v>
      </c>
      <c r="R118" s="154"/>
      <c r="S118" s="154"/>
      <c r="T118" s="154">
        <f t="shared" si="94"/>
        <v>0</v>
      </c>
      <c r="U118" s="154">
        <f t="shared" si="94"/>
        <v>0</v>
      </c>
      <c r="V118" s="169">
        <f t="shared" si="94"/>
        <v>0</v>
      </c>
      <c r="W118" s="125"/>
      <c r="X118" s="154">
        <f t="shared" ref="X118:Z118" si="96">ROUND(SUM(X113:X117),3)</f>
        <v>0</v>
      </c>
      <c r="Y118" s="154">
        <f t="shared" si="96"/>
        <v>18</v>
      </c>
      <c r="Z118" s="154">
        <f t="shared" si="96"/>
        <v>0</v>
      </c>
      <c r="AA118" s="154"/>
      <c r="AB118" s="99"/>
      <c r="AC118" s="154">
        <f t="shared" si="68"/>
        <v>18</v>
      </c>
      <c r="AD118" s="101"/>
    </row>
    <row r="119" spans="1:30" ht="15.75" x14ac:dyDescent="0.25">
      <c r="A119" s="126"/>
      <c r="B119" s="139" t="s">
        <v>48</v>
      </c>
      <c r="C119" s="66" t="s">
        <v>127</v>
      </c>
      <c r="D119" s="103">
        <v>4.6760000000000002</v>
      </c>
      <c r="E119" s="104">
        <v>325.3</v>
      </c>
      <c r="F119" s="104">
        <f t="shared" si="74"/>
        <v>1521.1028000000001</v>
      </c>
      <c r="G119" s="140">
        <v>1468.1</v>
      </c>
      <c r="H119" s="141"/>
      <c r="I119" s="141"/>
      <c r="J119" s="106"/>
      <c r="K119" s="106"/>
      <c r="L119" s="106"/>
      <c r="M119" s="193">
        <f>G119+L119</f>
        <v>1468.1</v>
      </c>
      <c r="N119" s="106">
        <f>M119-F119</f>
        <v>-53.002800000000207</v>
      </c>
      <c r="O119" s="106">
        <v>650</v>
      </c>
      <c r="P119" s="141">
        <v>499.2</v>
      </c>
      <c r="Q119" s="141">
        <v>150.80000000000001</v>
      </c>
      <c r="R119" s="141"/>
      <c r="S119" s="107">
        <f t="shared" ref="S119:S122" si="97">O119+R119</f>
        <v>650</v>
      </c>
      <c r="T119" s="141"/>
      <c r="U119" s="141"/>
      <c r="V119" s="142">
        <f>T119+U119</f>
        <v>0</v>
      </c>
      <c r="W119" s="110">
        <v>1</v>
      </c>
      <c r="X119" s="66"/>
      <c r="Y119" s="66">
        <v>1</v>
      </c>
      <c r="Z119" s="66"/>
      <c r="AA119" s="66"/>
      <c r="AB119" s="111">
        <f t="shared" ref="AB119:AB122" si="98">(Y119+AA119)-W119</f>
        <v>0</v>
      </c>
      <c r="AC119" s="143">
        <f t="shared" si="68"/>
        <v>1</v>
      </c>
      <c r="AD119" s="112">
        <f t="shared" si="69"/>
        <v>0</v>
      </c>
    </row>
    <row r="120" spans="1:30" ht="15.75" x14ac:dyDescent="0.25">
      <c r="A120" s="126"/>
      <c r="B120" s="144"/>
      <c r="C120" s="166" t="s">
        <v>128</v>
      </c>
      <c r="D120" s="74">
        <v>1.778</v>
      </c>
      <c r="E120" s="75">
        <v>2254.9</v>
      </c>
      <c r="F120" s="75">
        <f t="shared" si="74"/>
        <v>4009.2122000000004</v>
      </c>
      <c r="G120" s="148">
        <v>4009.2</v>
      </c>
      <c r="H120" s="115"/>
      <c r="I120" s="115"/>
      <c r="J120" s="78"/>
      <c r="K120" s="78"/>
      <c r="L120" s="78"/>
      <c r="M120" s="78">
        <f>G120+L120</f>
        <v>4009.2</v>
      </c>
      <c r="N120" s="78">
        <f>M120-F120</f>
        <v>-1.2200000000575528E-2</v>
      </c>
      <c r="O120" s="78">
        <v>2055.4</v>
      </c>
      <c r="P120" s="115">
        <v>1582.4</v>
      </c>
      <c r="Q120" s="115">
        <v>473</v>
      </c>
      <c r="R120" s="115"/>
      <c r="S120" s="79">
        <f t="shared" si="97"/>
        <v>2055.4</v>
      </c>
      <c r="T120" s="115"/>
      <c r="U120" s="115"/>
      <c r="V120" s="147">
        <f>T120+U120</f>
        <v>0</v>
      </c>
      <c r="W120" s="116">
        <v>5</v>
      </c>
      <c r="X120" s="83"/>
      <c r="Y120" s="83">
        <v>5</v>
      </c>
      <c r="Z120" s="83"/>
      <c r="AA120" s="83"/>
      <c r="AB120" s="84">
        <f t="shared" si="98"/>
        <v>0</v>
      </c>
      <c r="AC120" s="122">
        <f t="shared" si="68"/>
        <v>5</v>
      </c>
      <c r="AD120" s="85">
        <f t="shared" si="69"/>
        <v>0</v>
      </c>
    </row>
    <row r="121" spans="1:30" ht="15.75" x14ac:dyDescent="0.25">
      <c r="A121" s="126"/>
      <c r="B121" s="144"/>
      <c r="C121" s="166" t="s">
        <v>129</v>
      </c>
      <c r="D121" s="74">
        <v>1.391</v>
      </c>
      <c r="E121" s="75">
        <v>2805.7</v>
      </c>
      <c r="F121" s="75">
        <f t="shared" si="74"/>
        <v>3902.7286999999997</v>
      </c>
      <c r="G121" s="76">
        <v>3588</v>
      </c>
      <c r="H121" s="194"/>
      <c r="I121" s="194"/>
      <c r="J121" s="78"/>
      <c r="K121" s="78"/>
      <c r="L121" s="78"/>
      <c r="M121" s="78">
        <f>G121+L121</f>
        <v>3588</v>
      </c>
      <c r="N121" s="78">
        <f>M121-F121</f>
        <v>-314.72869999999966</v>
      </c>
      <c r="O121" s="78">
        <v>2493</v>
      </c>
      <c r="P121" s="194">
        <v>1899.5</v>
      </c>
      <c r="Q121" s="194">
        <v>593.5</v>
      </c>
      <c r="R121" s="194"/>
      <c r="S121" s="79">
        <f t="shared" si="97"/>
        <v>2493</v>
      </c>
      <c r="T121" s="194"/>
      <c r="U121" s="194"/>
      <c r="V121" s="147">
        <f>T121+U121</f>
        <v>0</v>
      </c>
      <c r="W121" s="82">
        <v>7</v>
      </c>
      <c r="X121" s="83"/>
      <c r="Y121" s="83">
        <v>7</v>
      </c>
      <c r="Z121" s="83"/>
      <c r="AA121" s="83"/>
      <c r="AB121" s="84">
        <f t="shared" si="98"/>
        <v>0</v>
      </c>
      <c r="AC121" s="122">
        <f t="shared" si="68"/>
        <v>7</v>
      </c>
      <c r="AD121" s="85">
        <f t="shared" si="69"/>
        <v>0</v>
      </c>
    </row>
    <row r="122" spans="1:30" ht="15.75" x14ac:dyDescent="0.25">
      <c r="A122" s="126">
        <v>27</v>
      </c>
      <c r="B122" s="144"/>
      <c r="C122" s="166" t="s">
        <v>130</v>
      </c>
      <c r="D122" s="74">
        <v>1.1439999999999999</v>
      </c>
      <c r="E122" s="75">
        <v>3562</v>
      </c>
      <c r="F122" s="75">
        <f t="shared" si="74"/>
        <v>4074.9279999999999</v>
      </c>
      <c r="G122" s="148">
        <v>4074.9</v>
      </c>
      <c r="H122" s="115"/>
      <c r="I122" s="115"/>
      <c r="J122" s="78"/>
      <c r="K122" s="78"/>
      <c r="L122" s="78"/>
      <c r="M122" s="78">
        <f>G122+L122</f>
        <v>4074.9</v>
      </c>
      <c r="N122" s="78">
        <f>M122-F122</f>
        <v>-2.7999999999792635E-2</v>
      </c>
      <c r="O122" s="78">
        <v>2208.6999999999998</v>
      </c>
      <c r="P122" s="115">
        <v>1739.9</v>
      </c>
      <c r="Q122" s="115">
        <v>468.8</v>
      </c>
      <c r="R122" s="115"/>
      <c r="S122" s="79">
        <f t="shared" si="97"/>
        <v>2208.6999999999998</v>
      </c>
      <c r="T122" s="115"/>
      <c r="U122" s="115"/>
      <c r="V122" s="147">
        <f>T122+U122</f>
        <v>0</v>
      </c>
      <c r="W122" s="116">
        <v>9</v>
      </c>
      <c r="X122" s="83"/>
      <c r="Y122" s="83">
        <v>6</v>
      </c>
      <c r="Z122" s="83"/>
      <c r="AA122" s="83"/>
      <c r="AB122" s="84">
        <f t="shared" si="98"/>
        <v>-3</v>
      </c>
      <c r="AC122" s="122">
        <f t="shared" si="68"/>
        <v>6</v>
      </c>
      <c r="AD122" s="85">
        <f t="shared" si="69"/>
        <v>-3</v>
      </c>
    </row>
    <row r="123" spans="1:30" ht="16.5" thickBot="1" x14ac:dyDescent="0.3">
      <c r="A123" s="126"/>
      <c r="B123" s="149"/>
      <c r="C123" s="99" t="s">
        <v>65</v>
      </c>
      <c r="D123" s="150"/>
      <c r="E123" s="92"/>
      <c r="F123" s="92"/>
      <c r="G123" s="151">
        <f t="shared" ref="G123:M123" si="99">ROUND(SUM(G119:G122),3)</f>
        <v>13140.2</v>
      </c>
      <c r="H123" s="151">
        <f t="shared" si="99"/>
        <v>0</v>
      </c>
      <c r="I123" s="151">
        <f t="shared" si="99"/>
        <v>0</v>
      </c>
      <c r="J123" s="151">
        <f t="shared" si="99"/>
        <v>0</v>
      </c>
      <c r="K123" s="151"/>
      <c r="L123" s="151">
        <f t="shared" si="99"/>
        <v>0</v>
      </c>
      <c r="M123" s="151">
        <f t="shared" si="99"/>
        <v>13140.2</v>
      </c>
      <c r="N123" s="94"/>
      <c r="O123" s="151">
        <f t="shared" ref="O123:S123" si="100">ROUND(SUM(O119:O122),3)</f>
        <v>7407.1</v>
      </c>
      <c r="P123" s="151">
        <f t="shared" si="100"/>
        <v>5721</v>
      </c>
      <c r="Q123" s="151">
        <f t="shared" si="100"/>
        <v>1686.1</v>
      </c>
      <c r="R123" s="151">
        <f t="shared" si="100"/>
        <v>0</v>
      </c>
      <c r="S123" s="151">
        <f t="shared" si="100"/>
        <v>7407.1</v>
      </c>
      <c r="T123" s="151">
        <f>ROUND(SUM(T119:T122),3)</f>
        <v>0</v>
      </c>
      <c r="U123" s="151">
        <f>ROUND(SUM(U119:U122),3)</f>
        <v>0</v>
      </c>
      <c r="V123" s="152">
        <f>ROUND(SUM(V119:V122),3)</f>
        <v>0</v>
      </c>
      <c r="W123" s="153"/>
      <c r="X123" s="151">
        <f t="shared" ref="X123:AA123" si="101">ROUND(SUM(X119:X122),3)</f>
        <v>0</v>
      </c>
      <c r="Y123" s="151">
        <f t="shared" si="101"/>
        <v>19</v>
      </c>
      <c r="Z123" s="151">
        <f t="shared" si="101"/>
        <v>0</v>
      </c>
      <c r="AA123" s="151">
        <f t="shared" si="101"/>
        <v>0</v>
      </c>
      <c r="AB123" s="99"/>
      <c r="AC123" s="154">
        <f t="shared" si="68"/>
        <v>19</v>
      </c>
      <c r="AD123" s="101"/>
    </row>
    <row r="124" spans="1:30" ht="15.75" x14ac:dyDescent="0.25">
      <c r="A124" s="126"/>
      <c r="B124" s="139" t="s">
        <v>49</v>
      </c>
      <c r="C124" s="66" t="s">
        <v>131</v>
      </c>
      <c r="D124" s="103">
        <v>3.0760000000000001</v>
      </c>
      <c r="E124" s="104">
        <v>342</v>
      </c>
      <c r="F124" s="104">
        <f t="shared" si="74"/>
        <v>1051.992</v>
      </c>
      <c r="G124" s="167">
        <v>1036.992</v>
      </c>
      <c r="H124" s="155"/>
      <c r="I124" s="155"/>
      <c r="J124" s="106"/>
      <c r="K124" s="106"/>
      <c r="L124" s="106">
        <v>15</v>
      </c>
      <c r="M124" s="106">
        <f>G124+L124</f>
        <v>1051.992</v>
      </c>
      <c r="N124" s="106">
        <f>M124-F124</f>
        <v>0</v>
      </c>
      <c r="O124" s="106">
        <v>629.79999999999995</v>
      </c>
      <c r="P124" s="155">
        <v>484.8</v>
      </c>
      <c r="Q124" s="155">
        <v>144.9</v>
      </c>
      <c r="R124" s="141"/>
      <c r="S124" s="107">
        <f t="shared" ref="S124:S126" si="102">O124+R124</f>
        <v>629.79999999999995</v>
      </c>
      <c r="T124" s="141"/>
      <c r="U124" s="141"/>
      <c r="V124" s="142">
        <f>T124+U124</f>
        <v>0</v>
      </c>
      <c r="W124" s="110">
        <v>1</v>
      </c>
      <c r="X124" s="66"/>
      <c r="Y124" s="66">
        <v>1</v>
      </c>
      <c r="Z124" s="66"/>
      <c r="AA124" s="66"/>
      <c r="AB124" s="111">
        <f t="shared" ref="AB124:AB126" si="103">(Y124+AA124)-W124</f>
        <v>0</v>
      </c>
      <c r="AC124" s="143">
        <f t="shared" si="68"/>
        <v>1</v>
      </c>
      <c r="AD124" s="112">
        <f t="shared" si="69"/>
        <v>0</v>
      </c>
    </row>
    <row r="125" spans="1:30" ht="15.75" x14ac:dyDescent="0.25">
      <c r="A125" s="126"/>
      <c r="B125" s="144"/>
      <c r="C125" s="115" t="s">
        <v>132</v>
      </c>
      <c r="D125" s="74">
        <v>0.50600000000000001</v>
      </c>
      <c r="E125" s="75">
        <v>2817.1</v>
      </c>
      <c r="F125" s="75">
        <f t="shared" si="74"/>
        <v>1425.4526000000001</v>
      </c>
      <c r="G125" s="148">
        <v>1410.598</v>
      </c>
      <c r="H125" s="115"/>
      <c r="I125" s="115"/>
      <c r="J125" s="78"/>
      <c r="K125" s="78"/>
      <c r="L125" s="78">
        <v>5</v>
      </c>
      <c r="M125" s="78">
        <f>G125+L125</f>
        <v>1415.598</v>
      </c>
      <c r="N125" s="78">
        <f>M125-F125</f>
        <v>-9.8546000000001186</v>
      </c>
      <c r="O125" s="78">
        <v>471.5</v>
      </c>
      <c r="P125" s="115">
        <v>362.2</v>
      </c>
      <c r="Q125" s="115">
        <v>109.4</v>
      </c>
      <c r="R125" s="115">
        <v>34.6</v>
      </c>
      <c r="S125" s="79">
        <f t="shared" si="102"/>
        <v>506.1</v>
      </c>
      <c r="T125" s="115"/>
      <c r="U125" s="115"/>
      <c r="V125" s="147">
        <f>T125+U125</f>
        <v>0</v>
      </c>
      <c r="W125" s="82">
        <v>3</v>
      </c>
      <c r="X125" s="83"/>
      <c r="Y125" s="83">
        <v>3</v>
      </c>
      <c r="Z125" s="83"/>
      <c r="AA125" s="83"/>
      <c r="AB125" s="84">
        <f t="shared" si="103"/>
        <v>0</v>
      </c>
      <c r="AC125" s="122">
        <f t="shared" si="68"/>
        <v>3</v>
      </c>
      <c r="AD125" s="85">
        <f t="shared" si="69"/>
        <v>0</v>
      </c>
    </row>
    <row r="126" spans="1:30" ht="15.75" x14ac:dyDescent="0.25">
      <c r="A126" s="126">
        <v>34</v>
      </c>
      <c r="B126" s="144"/>
      <c r="C126" s="166" t="s">
        <v>133</v>
      </c>
      <c r="D126" s="74">
        <v>1.6870000000000001</v>
      </c>
      <c r="E126" s="75">
        <v>3971.6</v>
      </c>
      <c r="F126" s="75">
        <f t="shared" si="74"/>
        <v>6700.0892000000003</v>
      </c>
      <c r="G126" s="148">
        <v>6387.9309999999996</v>
      </c>
      <c r="H126" s="115"/>
      <c r="I126" s="115"/>
      <c r="J126" s="78"/>
      <c r="K126" s="78"/>
      <c r="L126" s="78">
        <v>20</v>
      </c>
      <c r="M126" s="78">
        <f>G126+L126</f>
        <v>6407.9309999999996</v>
      </c>
      <c r="N126" s="78">
        <f>M126-F126</f>
        <v>-292.15820000000076</v>
      </c>
      <c r="O126" s="78">
        <v>2448.6</v>
      </c>
      <c r="P126" s="115">
        <v>1883.1</v>
      </c>
      <c r="Q126" s="115">
        <v>565.5</v>
      </c>
      <c r="R126" s="115"/>
      <c r="S126" s="79">
        <f t="shared" si="102"/>
        <v>2448.6</v>
      </c>
      <c r="T126" s="115"/>
      <c r="U126" s="115"/>
      <c r="V126" s="147">
        <f>T126+U126</f>
        <v>0</v>
      </c>
      <c r="W126" s="82">
        <v>7</v>
      </c>
      <c r="X126" s="83"/>
      <c r="Y126" s="83">
        <v>7</v>
      </c>
      <c r="Z126" s="83"/>
      <c r="AA126" s="83"/>
      <c r="AB126" s="84">
        <f t="shared" si="103"/>
        <v>0</v>
      </c>
      <c r="AC126" s="122">
        <f t="shared" si="68"/>
        <v>7</v>
      </c>
      <c r="AD126" s="85">
        <f t="shared" si="69"/>
        <v>0</v>
      </c>
    </row>
    <row r="127" spans="1:30" ht="16.5" thickBot="1" x14ac:dyDescent="0.3">
      <c r="A127" s="126"/>
      <c r="B127" s="149"/>
      <c r="C127" s="99" t="s">
        <v>65</v>
      </c>
      <c r="D127" s="150"/>
      <c r="E127" s="92"/>
      <c r="F127" s="92"/>
      <c r="G127" s="151">
        <f t="shared" ref="G127:M127" si="104">ROUND(SUM(G124:G126),3)</f>
        <v>8835.5210000000006</v>
      </c>
      <c r="H127" s="151">
        <f t="shared" si="104"/>
        <v>0</v>
      </c>
      <c r="I127" s="151">
        <f t="shared" si="104"/>
        <v>0</v>
      </c>
      <c r="J127" s="151">
        <f t="shared" si="104"/>
        <v>0</v>
      </c>
      <c r="K127" s="151">
        <f t="shared" si="104"/>
        <v>0</v>
      </c>
      <c r="L127" s="151">
        <f t="shared" si="104"/>
        <v>40</v>
      </c>
      <c r="M127" s="151">
        <f t="shared" si="104"/>
        <v>8875.5210000000006</v>
      </c>
      <c r="N127" s="94"/>
      <c r="O127" s="151">
        <f t="shared" ref="O127:S127" si="105">ROUND(SUM(O124:O126),3)</f>
        <v>3549.9</v>
      </c>
      <c r="P127" s="151">
        <f t="shared" si="105"/>
        <v>2730.1</v>
      </c>
      <c r="Q127" s="151">
        <f t="shared" si="105"/>
        <v>819.8</v>
      </c>
      <c r="R127" s="151">
        <f t="shared" si="105"/>
        <v>34.6</v>
      </c>
      <c r="S127" s="151">
        <f t="shared" si="105"/>
        <v>3584.5</v>
      </c>
      <c r="T127" s="151">
        <f>ROUND(SUM(T124:T126),3)</f>
        <v>0</v>
      </c>
      <c r="U127" s="151">
        <f>ROUND(SUM(U124:U126),3)</f>
        <v>0</v>
      </c>
      <c r="V127" s="152">
        <f>ROUND(SUM(V124:V126),3)</f>
        <v>0</v>
      </c>
      <c r="W127" s="153"/>
      <c r="X127" s="151">
        <f t="shared" ref="X127:AA127" si="106">ROUND(SUM(X124:X126),3)</f>
        <v>0</v>
      </c>
      <c r="Y127" s="151">
        <f t="shared" si="106"/>
        <v>11</v>
      </c>
      <c r="Z127" s="151">
        <f t="shared" si="106"/>
        <v>0</v>
      </c>
      <c r="AA127" s="151">
        <f t="shared" si="106"/>
        <v>0</v>
      </c>
      <c r="AB127" s="99"/>
      <c r="AC127" s="154">
        <f t="shared" si="68"/>
        <v>11</v>
      </c>
      <c r="AD127" s="101"/>
    </row>
    <row r="128" spans="1:30" ht="16.5" thickBot="1" x14ac:dyDescent="0.3">
      <c r="A128" s="126"/>
      <c r="B128" s="139" t="s">
        <v>50</v>
      </c>
      <c r="C128" s="66" t="s">
        <v>134</v>
      </c>
      <c r="D128" s="103">
        <v>14.944000000000001</v>
      </c>
      <c r="E128" s="104">
        <v>80.2</v>
      </c>
      <c r="F128" s="104">
        <f t="shared" si="74"/>
        <v>1198.5088000000001</v>
      </c>
      <c r="G128" s="140">
        <v>866.3</v>
      </c>
      <c r="H128" s="141"/>
      <c r="I128" s="141"/>
      <c r="J128" s="106"/>
      <c r="K128" s="106"/>
      <c r="L128" s="106">
        <v>36.799999999999997</v>
      </c>
      <c r="M128" s="193">
        <f>G128+L128</f>
        <v>903.09999999999991</v>
      </c>
      <c r="N128" s="193">
        <f>M128-F128</f>
        <v>-295.40880000000016</v>
      </c>
      <c r="O128" s="106">
        <v>469.7</v>
      </c>
      <c r="P128" s="141">
        <v>368</v>
      </c>
      <c r="Q128" s="141">
        <v>101.7</v>
      </c>
      <c r="R128" s="141">
        <v>35.6</v>
      </c>
      <c r="S128" s="107">
        <f t="shared" ref="S128:S132" si="107">O128+R128</f>
        <v>505.3</v>
      </c>
      <c r="T128" s="141"/>
      <c r="U128" s="141"/>
      <c r="V128" s="142">
        <f>T128+U128</f>
        <v>0</v>
      </c>
      <c r="W128" s="110">
        <v>1</v>
      </c>
      <c r="X128" s="66"/>
      <c r="Y128" s="66">
        <v>1</v>
      </c>
      <c r="Z128" s="66"/>
      <c r="AA128" s="66"/>
      <c r="AB128" s="84">
        <f t="shared" ref="AB128:AB132" si="108">(Y128+AA128)-W128</f>
        <v>0</v>
      </c>
      <c r="AC128" s="143">
        <f t="shared" si="68"/>
        <v>1</v>
      </c>
      <c r="AD128" s="112">
        <f t="shared" si="69"/>
        <v>0</v>
      </c>
    </row>
    <row r="129" spans="1:30" ht="15.75" x14ac:dyDescent="0.25">
      <c r="A129" s="126"/>
      <c r="B129" s="170"/>
      <c r="C129" s="171" t="s">
        <v>135</v>
      </c>
      <c r="D129" s="172">
        <v>2.75</v>
      </c>
      <c r="E129" s="173">
        <v>6509.7</v>
      </c>
      <c r="F129" s="173">
        <f t="shared" si="74"/>
        <v>17901.674999999999</v>
      </c>
      <c r="G129" s="174">
        <v>17493</v>
      </c>
      <c r="H129" s="175"/>
      <c r="I129" s="175"/>
      <c r="J129" s="176"/>
      <c r="K129" s="176"/>
      <c r="L129" s="176">
        <v>408.68599999999998</v>
      </c>
      <c r="M129" s="78">
        <f>G129+L129</f>
        <v>17901.686000000002</v>
      </c>
      <c r="N129" s="78">
        <f>M129-F129</f>
        <v>1.1000000002240995E-2</v>
      </c>
      <c r="O129" s="176"/>
      <c r="P129" s="175"/>
      <c r="Q129" s="175"/>
      <c r="R129" s="175"/>
      <c r="S129" s="177"/>
      <c r="T129" s="175"/>
      <c r="U129" s="175"/>
      <c r="V129" s="142">
        <f>T129+U129</f>
        <v>0</v>
      </c>
      <c r="W129" s="179">
        <v>15</v>
      </c>
      <c r="X129" s="171"/>
      <c r="Y129" s="171">
        <v>16</v>
      </c>
      <c r="Z129" s="171"/>
      <c r="AA129" s="171">
        <v>0.72</v>
      </c>
      <c r="AB129" s="87">
        <f t="shared" si="108"/>
        <v>1.7199999999999989</v>
      </c>
      <c r="AC129" s="181">
        <f t="shared" si="68"/>
        <v>16.72</v>
      </c>
      <c r="AD129" s="195">
        <f t="shared" si="69"/>
        <v>1.7199999999999989</v>
      </c>
    </row>
    <row r="130" spans="1:30" ht="15.75" x14ac:dyDescent="0.25">
      <c r="A130" s="126"/>
      <c r="B130" s="144"/>
      <c r="C130" s="115" t="s">
        <v>136</v>
      </c>
      <c r="D130" s="74">
        <v>2.94</v>
      </c>
      <c r="E130" s="75">
        <v>2257.6999999999998</v>
      </c>
      <c r="F130" s="75">
        <f t="shared" si="74"/>
        <v>6637.637999999999</v>
      </c>
      <c r="G130" s="148">
        <v>5580.6</v>
      </c>
      <c r="H130" s="115"/>
      <c r="I130" s="115"/>
      <c r="J130" s="78"/>
      <c r="K130" s="78"/>
      <c r="L130" s="78">
        <v>8.1</v>
      </c>
      <c r="M130" s="78">
        <f>G130+L130</f>
        <v>5588.7000000000007</v>
      </c>
      <c r="N130" s="78">
        <f>M130-F130</f>
        <v>-1048.9379999999983</v>
      </c>
      <c r="O130" s="78">
        <v>3429.2</v>
      </c>
      <c r="P130" s="115">
        <v>2608.6</v>
      </c>
      <c r="Q130" s="115">
        <v>820.6</v>
      </c>
      <c r="R130" s="115"/>
      <c r="S130" s="79">
        <f t="shared" si="107"/>
        <v>3429.2</v>
      </c>
      <c r="T130" s="115"/>
      <c r="U130" s="115"/>
      <c r="V130" s="147">
        <f>T130+U130</f>
        <v>0</v>
      </c>
      <c r="W130" s="82">
        <v>5</v>
      </c>
      <c r="X130" s="83"/>
      <c r="Y130" s="83">
        <v>5</v>
      </c>
      <c r="Z130" s="83"/>
      <c r="AA130" s="83"/>
      <c r="AB130" s="84">
        <f t="shared" si="108"/>
        <v>0</v>
      </c>
      <c r="AC130" s="122">
        <f t="shared" si="68"/>
        <v>5</v>
      </c>
      <c r="AD130" s="85">
        <f t="shared" si="69"/>
        <v>0</v>
      </c>
    </row>
    <row r="131" spans="1:30" ht="15.75" x14ac:dyDescent="0.25">
      <c r="A131" s="126"/>
      <c r="B131" s="144"/>
      <c r="C131" s="196" t="s">
        <v>137</v>
      </c>
      <c r="D131" s="74">
        <v>1.2929999999999999</v>
      </c>
      <c r="E131" s="75">
        <v>2155.6</v>
      </c>
      <c r="F131" s="75">
        <f t="shared" si="74"/>
        <v>2787.1907999999999</v>
      </c>
      <c r="G131" s="148">
        <v>2447.1999999999998</v>
      </c>
      <c r="H131" s="115"/>
      <c r="I131" s="115"/>
      <c r="J131" s="78"/>
      <c r="K131" s="78"/>
      <c r="L131" s="78">
        <v>211.17</v>
      </c>
      <c r="M131" s="78">
        <f>G131+L131</f>
        <v>2658.37</v>
      </c>
      <c r="N131" s="78">
        <f>M131-F131</f>
        <v>-128.82079999999996</v>
      </c>
      <c r="O131" s="78">
        <v>1338.2</v>
      </c>
      <c r="P131" s="115">
        <v>1027.8</v>
      </c>
      <c r="Q131" s="115">
        <v>310.39999999999998</v>
      </c>
      <c r="R131" s="115">
        <v>248.7</v>
      </c>
      <c r="S131" s="79">
        <f t="shared" si="107"/>
        <v>1586.9</v>
      </c>
      <c r="T131" s="115"/>
      <c r="U131" s="115"/>
      <c r="V131" s="147">
        <f>T131+U131</f>
        <v>0</v>
      </c>
      <c r="W131" s="82">
        <v>4</v>
      </c>
      <c r="X131" s="83"/>
      <c r="Y131" s="83">
        <v>3</v>
      </c>
      <c r="Z131" s="83"/>
      <c r="AA131" s="83">
        <v>0.56999999999999995</v>
      </c>
      <c r="AB131" s="84">
        <f t="shared" si="108"/>
        <v>-0.43000000000000016</v>
      </c>
      <c r="AC131" s="122">
        <v>3.5</v>
      </c>
      <c r="AD131" s="85">
        <f t="shared" si="69"/>
        <v>-0.5</v>
      </c>
    </row>
    <row r="132" spans="1:30" ht="15.75" x14ac:dyDescent="0.25">
      <c r="A132" s="126"/>
      <c r="B132" s="144"/>
      <c r="C132" s="115" t="s">
        <v>138</v>
      </c>
      <c r="D132" s="74">
        <v>0.78700000000000003</v>
      </c>
      <c r="E132" s="75">
        <v>3285.8</v>
      </c>
      <c r="F132" s="75">
        <f t="shared" si="74"/>
        <v>2585.9246000000003</v>
      </c>
      <c r="G132" s="148">
        <v>2259.4</v>
      </c>
      <c r="H132" s="115"/>
      <c r="I132" s="115"/>
      <c r="J132" s="78"/>
      <c r="K132" s="78"/>
      <c r="L132" s="78">
        <v>167</v>
      </c>
      <c r="M132" s="78">
        <f>G132+L132</f>
        <v>2426.4</v>
      </c>
      <c r="N132" s="78">
        <f>M132-F132</f>
        <v>-159.52460000000019</v>
      </c>
      <c r="O132" s="78">
        <v>996.1</v>
      </c>
      <c r="P132" s="115">
        <v>768.8</v>
      </c>
      <c r="Q132" s="115">
        <v>227.4</v>
      </c>
      <c r="R132" s="115">
        <v>171.3</v>
      </c>
      <c r="S132" s="79">
        <f t="shared" si="107"/>
        <v>1167.4000000000001</v>
      </c>
      <c r="T132" s="115"/>
      <c r="U132" s="115"/>
      <c r="V132" s="147">
        <f>T132+U132</f>
        <v>0</v>
      </c>
      <c r="W132" s="82">
        <v>3</v>
      </c>
      <c r="X132" s="83"/>
      <c r="Y132" s="83">
        <v>2</v>
      </c>
      <c r="Z132" s="83"/>
      <c r="AA132" s="83">
        <v>0.46</v>
      </c>
      <c r="AB132" s="84">
        <f t="shared" si="108"/>
        <v>-0.54</v>
      </c>
      <c r="AC132" s="122">
        <f t="shared" si="68"/>
        <v>2.46</v>
      </c>
      <c r="AD132" s="85">
        <f t="shared" si="69"/>
        <v>-0.54</v>
      </c>
    </row>
    <row r="133" spans="1:30" ht="16.5" thickBot="1" x14ac:dyDescent="0.3">
      <c r="A133" s="126"/>
      <c r="B133" s="149"/>
      <c r="C133" s="99" t="s">
        <v>65</v>
      </c>
      <c r="D133" s="150"/>
      <c r="E133" s="92"/>
      <c r="F133" s="92"/>
      <c r="G133" s="151">
        <f t="shared" ref="G133:M133" si="109">ROUND(SUM(G128:G132),3)</f>
        <v>28646.5</v>
      </c>
      <c r="H133" s="151">
        <f t="shared" si="109"/>
        <v>0</v>
      </c>
      <c r="I133" s="151">
        <f t="shared" si="109"/>
        <v>0</v>
      </c>
      <c r="J133" s="151">
        <f t="shared" si="109"/>
        <v>0</v>
      </c>
      <c r="K133" s="151">
        <f t="shared" si="109"/>
        <v>0</v>
      </c>
      <c r="L133" s="151">
        <f t="shared" si="109"/>
        <v>831.75599999999997</v>
      </c>
      <c r="M133" s="151">
        <f t="shared" si="109"/>
        <v>29478.256000000001</v>
      </c>
      <c r="N133" s="94"/>
      <c r="O133" s="151">
        <f t="shared" ref="O133:V133" si="110">ROUND(SUM(O128:O132),3)</f>
        <v>6233.2</v>
      </c>
      <c r="P133" s="151">
        <f t="shared" si="110"/>
        <v>4773.2</v>
      </c>
      <c r="Q133" s="151">
        <f t="shared" si="110"/>
        <v>1460.1</v>
      </c>
      <c r="R133" s="151">
        <f t="shared" si="110"/>
        <v>455.6</v>
      </c>
      <c r="S133" s="151">
        <f t="shared" si="110"/>
        <v>6688.8</v>
      </c>
      <c r="T133" s="151">
        <f t="shared" si="110"/>
        <v>0</v>
      </c>
      <c r="U133" s="151">
        <f t="shared" si="110"/>
        <v>0</v>
      </c>
      <c r="V133" s="152">
        <f t="shared" si="110"/>
        <v>0</v>
      </c>
      <c r="W133" s="153"/>
      <c r="X133" s="151">
        <f>ROUND(SUM(X128:X132),3)</f>
        <v>0</v>
      </c>
      <c r="Y133" s="151">
        <f>ROUND(SUM(Y128:Y132),3)</f>
        <v>27</v>
      </c>
      <c r="Z133" s="151">
        <f>ROUND(SUM(Z128:Z132),3)</f>
        <v>0</v>
      </c>
      <c r="AA133" s="151">
        <f>ROUND(SUM(AA128:AA132),3)</f>
        <v>1.75</v>
      </c>
      <c r="AB133" s="99"/>
      <c r="AC133" s="154">
        <v>28.7</v>
      </c>
      <c r="AD133" s="101"/>
    </row>
    <row r="134" spans="1:30" ht="15.75" x14ac:dyDescent="0.25">
      <c r="A134" s="126"/>
      <c r="B134" s="197" t="s">
        <v>51</v>
      </c>
      <c r="C134" s="66" t="s">
        <v>139</v>
      </c>
      <c r="D134" s="185">
        <v>5.8650000000000002</v>
      </c>
      <c r="E134" s="104">
        <v>0</v>
      </c>
      <c r="F134" s="104">
        <v>0</v>
      </c>
      <c r="G134" s="186">
        <v>0</v>
      </c>
      <c r="H134" s="186"/>
      <c r="I134" s="186"/>
      <c r="J134" s="186"/>
      <c r="K134" s="186"/>
      <c r="L134" s="186">
        <v>0</v>
      </c>
      <c r="M134" s="106">
        <f>G134+L134</f>
        <v>0</v>
      </c>
      <c r="N134" s="106">
        <f>M134-F134</f>
        <v>0</v>
      </c>
      <c r="O134" s="186"/>
      <c r="P134" s="186"/>
      <c r="Q134" s="186"/>
      <c r="R134" s="186"/>
      <c r="S134" s="186"/>
      <c r="T134" s="186"/>
      <c r="U134" s="186"/>
      <c r="V134" s="198"/>
      <c r="W134" s="199">
        <v>0</v>
      </c>
      <c r="X134" s="186"/>
      <c r="Y134" s="186"/>
      <c r="Z134" s="186"/>
      <c r="AA134" s="186"/>
      <c r="AB134" s="186">
        <v>0</v>
      </c>
      <c r="AC134" s="186">
        <v>0</v>
      </c>
      <c r="AD134" s="112">
        <v>0</v>
      </c>
    </row>
    <row r="135" spans="1:30" ht="15.75" x14ac:dyDescent="0.25">
      <c r="A135" s="126"/>
      <c r="B135" s="200"/>
      <c r="C135" s="196" t="s">
        <v>140</v>
      </c>
      <c r="D135" s="74">
        <v>0.53300000000000003</v>
      </c>
      <c r="E135" s="75">
        <v>4122.5</v>
      </c>
      <c r="F135" s="75">
        <f t="shared" si="74"/>
        <v>2197.2925</v>
      </c>
      <c r="G135" s="148">
        <v>2137.4</v>
      </c>
      <c r="H135" s="115"/>
      <c r="I135" s="115"/>
      <c r="J135" s="78"/>
      <c r="K135" s="78"/>
      <c r="L135" s="78">
        <v>59.9</v>
      </c>
      <c r="M135" s="78">
        <f>G135+L135</f>
        <v>2197.3000000000002</v>
      </c>
      <c r="N135" s="78">
        <f>M135-F135</f>
        <v>7.500000000163709E-3</v>
      </c>
      <c r="O135" s="78">
        <v>1029.5</v>
      </c>
      <c r="P135" s="115">
        <v>792.6</v>
      </c>
      <c r="Q135" s="115">
        <v>236.9</v>
      </c>
      <c r="R135" s="115"/>
      <c r="S135" s="79">
        <f t="shared" ref="S135:S138" si="111">O135+R135</f>
        <v>1029.5</v>
      </c>
      <c r="T135" s="115"/>
      <c r="U135" s="115"/>
      <c r="V135" s="147">
        <f>T135+U135</f>
        <v>0</v>
      </c>
      <c r="W135" s="82">
        <v>3</v>
      </c>
      <c r="X135" s="83"/>
      <c r="Y135" s="83">
        <v>3</v>
      </c>
      <c r="Z135" s="83"/>
      <c r="AA135" s="83"/>
      <c r="AB135" s="84">
        <f t="shared" ref="AB135:AB138" si="112">(Y135+AA135)-W135</f>
        <v>0</v>
      </c>
      <c r="AC135" s="122">
        <f t="shared" si="68"/>
        <v>3</v>
      </c>
      <c r="AD135" s="85">
        <f t="shared" si="69"/>
        <v>0</v>
      </c>
    </row>
    <row r="136" spans="1:30" ht="15.75" x14ac:dyDescent="0.25">
      <c r="A136" s="126"/>
      <c r="B136" s="200"/>
      <c r="C136" s="196" t="s">
        <v>141</v>
      </c>
      <c r="D136" s="74">
        <v>1.63</v>
      </c>
      <c r="E136" s="75">
        <v>2475.8000000000002</v>
      </c>
      <c r="F136" s="75">
        <f t="shared" si="74"/>
        <v>4035.5540000000001</v>
      </c>
      <c r="G136" s="148">
        <v>3892.1</v>
      </c>
      <c r="H136" s="115"/>
      <c r="I136" s="115"/>
      <c r="J136" s="78"/>
      <c r="K136" s="78"/>
      <c r="L136" s="78">
        <v>143.5</v>
      </c>
      <c r="M136" s="78">
        <f>G136+L136</f>
        <v>4035.6</v>
      </c>
      <c r="N136" s="78">
        <f>M136-F136</f>
        <v>4.5999999999821739E-2</v>
      </c>
      <c r="O136" s="78">
        <v>1567.1</v>
      </c>
      <c r="P136" s="115">
        <v>1203.5999999999999</v>
      </c>
      <c r="Q136" s="115">
        <v>363.5</v>
      </c>
      <c r="R136" s="115"/>
      <c r="S136" s="79">
        <f t="shared" si="111"/>
        <v>1567.1</v>
      </c>
      <c r="T136" s="115"/>
      <c r="U136" s="115"/>
      <c r="V136" s="147">
        <f>T136+U136</f>
        <v>0</v>
      </c>
      <c r="W136" s="82">
        <v>5</v>
      </c>
      <c r="X136" s="83"/>
      <c r="Y136" s="83">
        <v>5</v>
      </c>
      <c r="Z136" s="83"/>
      <c r="AA136" s="83"/>
      <c r="AB136" s="84">
        <f t="shared" si="112"/>
        <v>0</v>
      </c>
      <c r="AC136" s="122">
        <f t="shared" si="68"/>
        <v>5</v>
      </c>
      <c r="AD136" s="85">
        <f t="shared" si="69"/>
        <v>0</v>
      </c>
    </row>
    <row r="137" spans="1:30" ht="15.75" x14ac:dyDescent="0.25">
      <c r="A137" s="126">
        <v>35</v>
      </c>
      <c r="B137" s="200"/>
      <c r="C137" s="196" t="s">
        <v>142</v>
      </c>
      <c r="D137" s="74">
        <v>0.54</v>
      </c>
      <c r="E137" s="75">
        <v>4779.1000000000004</v>
      </c>
      <c r="F137" s="75">
        <f t="shared" si="74"/>
        <v>2580.7140000000004</v>
      </c>
      <c r="G137" s="148">
        <v>2388.6999999999998</v>
      </c>
      <c r="H137" s="115"/>
      <c r="I137" s="115"/>
      <c r="J137" s="78"/>
      <c r="K137" s="78"/>
      <c r="L137" s="78">
        <v>54.6</v>
      </c>
      <c r="M137" s="78">
        <f>G137+L137</f>
        <v>2443.2999999999997</v>
      </c>
      <c r="N137" s="78">
        <f>M137-F137</f>
        <v>-137.41400000000067</v>
      </c>
      <c r="O137" s="78">
        <v>750.5</v>
      </c>
      <c r="P137" s="115">
        <v>577.29999999999995</v>
      </c>
      <c r="Q137" s="115">
        <v>173.2</v>
      </c>
      <c r="R137" s="115"/>
      <c r="S137" s="79">
        <f t="shared" si="111"/>
        <v>750.5</v>
      </c>
      <c r="T137" s="115"/>
      <c r="U137" s="115"/>
      <c r="V137" s="147">
        <f>T137+U137</f>
        <v>0</v>
      </c>
      <c r="W137" s="82">
        <v>3</v>
      </c>
      <c r="X137" s="83"/>
      <c r="Y137" s="83">
        <v>3</v>
      </c>
      <c r="Z137" s="83"/>
      <c r="AA137" s="83"/>
      <c r="AB137" s="84">
        <f t="shared" si="112"/>
        <v>0</v>
      </c>
      <c r="AC137" s="122">
        <f t="shared" si="68"/>
        <v>3</v>
      </c>
      <c r="AD137" s="85">
        <f t="shared" si="69"/>
        <v>0</v>
      </c>
    </row>
    <row r="138" spans="1:30" ht="15.75" x14ac:dyDescent="0.25">
      <c r="A138" s="126"/>
      <c r="B138" s="200"/>
      <c r="C138" s="196" t="s">
        <v>143</v>
      </c>
      <c r="D138" s="74">
        <v>1.0409999999999999</v>
      </c>
      <c r="E138" s="75">
        <v>3493.9</v>
      </c>
      <c r="F138" s="75">
        <f t="shared" si="74"/>
        <v>3637.1498999999999</v>
      </c>
      <c r="G138" s="148">
        <v>3544.6</v>
      </c>
      <c r="H138" s="115"/>
      <c r="I138" s="115"/>
      <c r="J138" s="78"/>
      <c r="K138" s="78"/>
      <c r="L138" s="78">
        <v>92.5</v>
      </c>
      <c r="M138" s="78">
        <f>G138+L138</f>
        <v>3637.1</v>
      </c>
      <c r="N138" s="78">
        <f>M138-F138</f>
        <v>-4.9899999999979627E-2</v>
      </c>
      <c r="O138" s="78">
        <v>1399.5</v>
      </c>
      <c r="P138" s="115">
        <v>1077.7</v>
      </c>
      <c r="Q138" s="115">
        <v>321.8</v>
      </c>
      <c r="R138" s="115"/>
      <c r="S138" s="79">
        <f t="shared" si="111"/>
        <v>1399.5</v>
      </c>
      <c r="T138" s="115"/>
      <c r="U138" s="115"/>
      <c r="V138" s="147">
        <f>T138+U138</f>
        <v>0</v>
      </c>
      <c r="W138" s="82">
        <v>4</v>
      </c>
      <c r="X138" s="83"/>
      <c r="Y138" s="83">
        <v>4</v>
      </c>
      <c r="Z138" s="83"/>
      <c r="AA138" s="83"/>
      <c r="AB138" s="84">
        <f t="shared" si="112"/>
        <v>0</v>
      </c>
      <c r="AC138" s="122">
        <f t="shared" si="68"/>
        <v>4</v>
      </c>
      <c r="AD138" s="85">
        <f t="shared" si="69"/>
        <v>0</v>
      </c>
    </row>
    <row r="139" spans="1:30" ht="16.5" thickBot="1" x14ac:dyDescent="0.3">
      <c r="A139" s="126"/>
      <c r="B139" s="201"/>
      <c r="C139" s="99" t="s">
        <v>65</v>
      </c>
      <c r="D139" s="150"/>
      <c r="E139" s="92"/>
      <c r="F139" s="92"/>
      <c r="G139" s="151">
        <f>ROUND(SUM(G134:G138),3)</f>
        <v>11962.8</v>
      </c>
      <c r="H139" s="151">
        <f t="shared" ref="H139:L139" si="113">ROUND(SUM(H134:H138),3)</f>
        <v>0</v>
      </c>
      <c r="I139" s="151">
        <f t="shared" si="113"/>
        <v>0</v>
      </c>
      <c r="J139" s="151">
        <f t="shared" si="113"/>
        <v>0</v>
      </c>
      <c r="K139" s="151">
        <f t="shared" si="113"/>
        <v>0</v>
      </c>
      <c r="L139" s="151">
        <f t="shared" si="113"/>
        <v>350.5</v>
      </c>
      <c r="M139" s="151">
        <f t="shared" ref="M139" si="114">ROUND(SUM(M135:M138),3)</f>
        <v>12313.3</v>
      </c>
      <c r="N139" s="94"/>
      <c r="O139" s="151">
        <f t="shared" ref="O139:S139" si="115">ROUND(SUM(O135:O138),3)</f>
        <v>4746.6000000000004</v>
      </c>
      <c r="P139" s="151">
        <f t="shared" si="115"/>
        <v>3651.2</v>
      </c>
      <c r="Q139" s="151">
        <f t="shared" si="115"/>
        <v>1095.4000000000001</v>
      </c>
      <c r="R139" s="151">
        <f t="shared" si="115"/>
        <v>0</v>
      </c>
      <c r="S139" s="151">
        <f t="shared" si="115"/>
        <v>4746.6000000000004</v>
      </c>
      <c r="T139" s="151">
        <f>ROUND(SUM(T135:T138),3)</f>
        <v>0</v>
      </c>
      <c r="U139" s="151">
        <f>ROUND(SUM(U135:U138),3)</f>
        <v>0</v>
      </c>
      <c r="V139" s="152">
        <f>ROUND(SUM(V135:V138),3)</f>
        <v>0</v>
      </c>
      <c r="W139" s="153"/>
      <c r="X139" s="157">
        <f t="shared" ref="X139:AA139" si="116">ROUND(SUM(X135:X138),3)</f>
        <v>0</v>
      </c>
      <c r="Y139" s="151">
        <f t="shared" si="116"/>
        <v>15</v>
      </c>
      <c r="Z139" s="151">
        <f t="shared" si="116"/>
        <v>0</v>
      </c>
      <c r="AA139" s="151">
        <f t="shared" si="116"/>
        <v>0</v>
      </c>
      <c r="AB139" s="99"/>
      <c r="AC139" s="154">
        <f t="shared" si="68"/>
        <v>15</v>
      </c>
      <c r="AD139" s="101"/>
    </row>
    <row r="140" spans="1:30" ht="15.75" x14ac:dyDescent="0.25">
      <c r="A140" s="126"/>
      <c r="B140" s="139" t="s">
        <v>52</v>
      </c>
      <c r="C140" s="66" t="s">
        <v>144</v>
      </c>
      <c r="D140" s="103">
        <v>23.669</v>
      </c>
      <c r="E140" s="104">
        <v>113</v>
      </c>
      <c r="F140" s="104">
        <f t="shared" ref="F140:F178" si="117">E140*D140</f>
        <v>2674.5970000000002</v>
      </c>
      <c r="G140" s="140">
        <v>2674.25</v>
      </c>
      <c r="H140" s="141"/>
      <c r="I140" s="141"/>
      <c r="J140" s="106"/>
      <c r="K140" s="106"/>
      <c r="L140" s="106"/>
      <c r="M140" s="106">
        <f>G140+L140</f>
        <v>2674.25</v>
      </c>
      <c r="N140" s="106">
        <f>M140-F140</f>
        <v>-0.34700000000020736</v>
      </c>
      <c r="O140" s="106">
        <v>776.9</v>
      </c>
      <c r="P140" s="141">
        <v>596.70000000000005</v>
      </c>
      <c r="Q140" s="141">
        <v>180.2</v>
      </c>
      <c r="R140" s="141"/>
      <c r="S140" s="107">
        <f t="shared" ref="S140:S143" si="118">O140+R140</f>
        <v>776.9</v>
      </c>
      <c r="T140" s="141"/>
      <c r="U140" s="141"/>
      <c r="V140" s="142">
        <f>T140+U140</f>
        <v>0</v>
      </c>
      <c r="W140" s="110">
        <v>1</v>
      </c>
      <c r="X140" s="66"/>
      <c r="Y140" s="66">
        <v>1</v>
      </c>
      <c r="Z140" s="66"/>
      <c r="AA140" s="66"/>
      <c r="AB140" s="111">
        <f t="shared" ref="AB140:AB143" si="119">(Y140+AA140)-W140</f>
        <v>0</v>
      </c>
      <c r="AC140" s="143">
        <f t="shared" si="68"/>
        <v>1</v>
      </c>
      <c r="AD140" s="112">
        <f t="shared" si="69"/>
        <v>0</v>
      </c>
    </row>
    <row r="141" spans="1:30" ht="15.75" x14ac:dyDescent="0.25">
      <c r="A141" s="126"/>
      <c r="B141" s="144"/>
      <c r="C141" s="166" t="s">
        <v>145</v>
      </c>
      <c r="D141" s="74">
        <v>3.363</v>
      </c>
      <c r="E141" s="75">
        <v>1533.2</v>
      </c>
      <c r="F141" s="75">
        <f t="shared" si="117"/>
        <v>5156.1516000000001</v>
      </c>
      <c r="G141" s="148">
        <v>4107.2550000000001</v>
      </c>
      <c r="H141" s="115"/>
      <c r="I141" s="115"/>
      <c r="J141" s="78"/>
      <c r="K141" s="78"/>
      <c r="L141" s="78">
        <v>175</v>
      </c>
      <c r="M141" s="78">
        <f>G141+L141</f>
        <v>4282.2550000000001</v>
      </c>
      <c r="N141" s="78">
        <f>M141-F141</f>
        <v>-873.89660000000003</v>
      </c>
      <c r="O141" s="78">
        <v>2193.3000000000002</v>
      </c>
      <c r="P141" s="115">
        <v>1688.4</v>
      </c>
      <c r="Q141" s="115">
        <v>504.9</v>
      </c>
      <c r="R141" s="115"/>
      <c r="S141" s="79">
        <f t="shared" si="118"/>
        <v>2193.3000000000002</v>
      </c>
      <c r="T141" s="115"/>
      <c r="U141" s="115"/>
      <c r="V141" s="147">
        <f>T141+U141</f>
        <v>0</v>
      </c>
      <c r="W141" s="116">
        <v>5</v>
      </c>
      <c r="X141" s="83"/>
      <c r="Y141" s="83">
        <v>5</v>
      </c>
      <c r="Z141" s="83"/>
      <c r="AA141" s="83"/>
      <c r="AB141" s="84">
        <f t="shared" si="119"/>
        <v>0</v>
      </c>
      <c r="AC141" s="122">
        <f t="shared" si="68"/>
        <v>5</v>
      </c>
      <c r="AD141" s="85">
        <f t="shared" si="69"/>
        <v>0</v>
      </c>
    </row>
    <row r="142" spans="1:30" ht="15.75" x14ac:dyDescent="0.25">
      <c r="A142" s="126"/>
      <c r="B142" s="144"/>
      <c r="C142" s="166" t="s">
        <v>146</v>
      </c>
      <c r="D142" s="74">
        <v>2.6589999999999998</v>
      </c>
      <c r="E142" s="75">
        <v>1706.7</v>
      </c>
      <c r="F142" s="75">
        <f t="shared" si="117"/>
        <v>4538.1152999999995</v>
      </c>
      <c r="G142" s="148">
        <v>3611.7</v>
      </c>
      <c r="H142" s="115"/>
      <c r="I142" s="115"/>
      <c r="J142" s="78"/>
      <c r="K142" s="78"/>
      <c r="L142" s="78">
        <v>175</v>
      </c>
      <c r="M142" s="78">
        <f>G142+L142</f>
        <v>3786.7</v>
      </c>
      <c r="N142" s="78">
        <f>M142-F142</f>
        <v>-751.41529999999966</v>
      </c>
      <c r="O142" s="78">
        <v>1198.5</v>
      </c>
      <c r="P142" s="115">
        <v>907.9</v>
      </c>
      <c r="Q142" s="115">
        <v>271.60000000000002</v>
      </c>
      <c r="R142" s="115">
        <v>300</v>
      </c>
      <c r="S142" s="79">
        <f t="shared" si="118"/>
        <v>1498.5</v>
      </c>
      <c r="T142" s="115"/>
      <c r="U142" s="115"/>
      <c r="V142" s="147">
        <f>T142+U142</f>
        <v>0</v>
      </c>
      <c r="W142" s="116">
        <v>5</v>
      </c>
      <c r="X142" s="83"/>
      <c r="Y142" s="83">
        <v>3</v>
      </c>
      <c r="Z142" s="83"/>
      <c r="AA142" s="83"/>
      <c r="AB142" s="84">
        <f t="shared" si="119"/>
        <v>-2</v>
      </c>
      <c r="AC142" s="122">
        <f t="shared" si="68"/>
        <v>3</v>
      </c>
      <c r="AD142" s="85">
        <f t="shared" si="69"/>
        <v>-2</v>
      </c>
    </row>
    <row r="143" spans="1:30" ht="15.75" x14ac:dyDescent="0.25">
      <c r="A143" s="126"/>
      <c r="B143" s="144"/>
      <c r="C143" s="166" t="s">
        <v>147</v>
      </c>
      <c r="D143" s="74">
        <v>2.238</v>
      </c>
      <c r="E143" s="75">
        <v>2382.1</v>
      </c>
      <c r="F143" s="75">
        <f t="shared" si="117"/>
        <v>5331.1397999999999</v>
      </c>
      <c r="G143" s="148">
        <v>4413.7</v>
      </c>
      <c r="H143" s="115"/>
      <c r="I143" s="115"/>
      <c r="J143" s="78"/>
      <c r="K143" s="78"/>
      <c r="L143" s="78">
        <v>137.5</v>
      </c>
      <c r="M143" s="78">
        <f>G143+L143</f>
        <v>4551.2</v>
      </c>
      <c r="N143" s="78">
        <f>M143-F143</f>
        <v>-779.9398000000001</v>
      </c>
      <c r="O143" s="78">
        <v>1332.9</v>
      </c>
      <c r="P143" s="115">
        <v>1005.4</v>
      </c>
      <c r="Q143" s="115">
        <v>327.60000000000002</v>
      </c>
      <c r="R143" s="115">
        <v>300</v>
      </c>
      <c r="S143" s="79">
        <f t="shared" si="118"/>
        <v>1632.9</v>
      </c>
      <c r="T143" s="115"/>
      <c r="U143" s="115"/>
      <c r="V143" s="147">
        <f>T143+U143</f>
        <v>0</v>
      </c>
      <c r="W143" s="116">
        <v>5</v>
      </c>
      <c r="X143" s="83"/>
      <c r="Y143" s="83">
        <v>5</v>
      </c>
      <c r="Z143" s="83"/>
      <c r="AA143" s="83"/>
      <c r="AB143" s="84">
        <f t="shared" si="119"/>
        <v>0</v>
      </c>
      <c r="AC143" s="122">
        <f t="shared" si="68"/>
        <v>5</v>
      </c>
      <c r="AD143" s="85">
        <f t="shared" si="69"/>
        <v>0</v>
      </c>
    </row>
    <row r="144" spans="1:30" ht="16.5" thickBot="1" x14ac:dyDescent="0.3">
      <c r="A144" s="126"/>
      <c r="B144" s="149"/>
      <c r="C144" s="99" t="s">
        <v>65</v>
      </c>
      <c r="D144" s="150"/>
      <c r="E144" s="92"/>
      <c r="F144" s="92"/>
      <c r="G144" s="151">
        <f t="shared" ref="G144:I144" si="120">ROUND(SUM(G140:G143),3)</f>
        <v>14806.905000000001</v>
      </c>
      <c r="H144" s="151">
        <f t="shared" si="120"/>
        <v>0</v>
      </c>
      <c r="I144" s="151">
        <f t="shared" si="120"/>
        <v>0</v>
      </c>
      <c r="J144" s="151">
        <f t="shared" ref="J144:V144" si="121">ROUND(SUM(J140:J143),3)</f>
        <v>0</v>
      </c>
      <c r="K144" s="151">
        <f t="shared" si="121"/>
        <v>0</v>
      </c>
      <c r="L144" s="151">
        <f t="shared" si="121"/>
        <v>487.5</v>
      </c>
      <c r="M144" s="151">
        <f>ROUND(SUM(M140:M143),3)</f>
        <v>15294.405000000001</v>
      </c>
      <c r="N144" s="94"/>
      <c r="O144" s="151">
        <f t="shared" ref="O144:S144" si="122">ROUND(SUM(O140:O143),3)</f>
        <v>5501.6</v>
      </c>
      <c r="P144" s="151">
        <f t="shared" si="122"/>
        <v>4198.3999999999996</v>
      </c>
      <c r="Q144" s="151">
        <f t="shared" si="122"/>
        <v>1284.3</v>
      </c>
      <c r="R144" s="151">
        <f t="shared" si="122"/>
        <v>600</v>
      </c>
      <c r="S144" s="151">
        <f t="shared" si="122"/>
        <v>6101.6</v>
      </c>
      <c r="T144" s="151">
        <f t="shared" si="121"/>
        <v>0</v>
      </c>
      <c r="U144" s="151">
        <f t="shared" si="121"/>
        <v>0</v>
      </c>
      <c r="V144" s="152">
        <f t="shared" si="121"/>
        <v>0</v>
      </c>
      <c r="W144" s="153"/>
      <c r="X144" s="151">
        <f t="shared" ref="X144:AA144" si="123">ROUND(SUM(X140:X143),3)</f>
        <v>0</v>
      </c>
      <c r="Y144" s="151">
        <f t="shared" si="123"/>
        <v>14</v>
      </c>
      <c r="Z144" s="151">
        <f t="shared" si="123"/>
        <v>0</v>
      </c>
      <c r="AA144" s="151">
        <f t="shared" si="123"/>
        <v>0</v>
      </c>
      <c r="AB144" s="99"/>
      <c r="AC144" s="154">
        <f t="shared" si="68"/>
        <v>14</v>
      </c>
      <c r="AD144" s="101"/>
    </row>
    <row r="145" spans="1:30" ht="15.75" x14ac:dyDescent="0.25">
      <c r="A145" s="126"/>
      <c r="B145" s="184" t="s">
        <v>53</v>
      </c>
      <c r="C145" s="66" t="s">
        <v>148</v>
      </c>
      <c r="D145" s="185">
        <v>4.6900000000000004</v>
      </c>
      <c r="E145" s="104">
        <v>0</v>
      </c>
      <c r="F145" s="104">
        <v>0</v>
      </c>
      <c r="G145" s="186">
        <v>0</v>
      </c>
      <c r="H145" s="186"/>
      <c r="I145" s="186"/>
      <c r="J145" s="186"/>
      <c r="K145" s="186"/>
      <c r="L145" s="186">
        <v>0</v>
      </c>
      <c r="M145" s="78">
        <f t="shared" ref="M145:M150" si="124">G145+L145</f>
        <v>0</v>
      </c>
      <c r="N145" s="78">
        <f t="shared" ref="N145:N150" si="125">M145-F145</f>
        <v>0</v>
      </c>
      <c r="O145" s="186"/>
      <c r="P145" s="186"/>
      <c r="Q145" s="186"/>
      <c r="R145" s="186"/>
      <c r="S145" s="186"/>
      <c r="T145" s="186"/>
      <c r="U145" s="186"/>
      <c r="V145" s="198"/>
      <c r="W145" s="199">
        <v>0</v>
      </c>
      <c r="X145" s="186"/>
      <c r="Y145" s="186">
        <v>0</v>
      </c>
      <c r="Z145" s="186"/>
      <c r="AA145" s="186">
        <v>0</v>
      </c>
      <c r="AB145" s="84">
        <f>(Y145+AA145)-W145</f>
        <v>0</v>
      </c>
      <c r="AC145" s="186">
        <v>0</v>
      </c>
      <c r="AD145" s="202">
        <v>0</v>
      </c>
    </row>
    <row r="146" spans="1:30" ht="15.75" x14ac:dyDescent="0.25">
      <c r="A146" s="126"/>
      <c r="B146" s="187"/>
      <c r="C146" s="115" t="s">
        <v>149</v>
      </c>
      <c r="D146" s="74">
        <v>1.375</v>
      </c>
      <c r="E146" s="75">
        <v>2058.1</v>
      </c>
      <c r="F146" s="75">
        <f t="shared" si="117"/>
        <v>2829.8874999999998</v>
      </c>
      <c r="G146" s="148">
        <v>2430.1</v>
      </c>
      <c r="H146" s="115"/>
      <c r="I146" s="115"/>
      <c r="J146" s="78"/>
      <c r="K146" s="78"/>
      <c r="L146" s="78"/>
      <c r="M146" s="78">
        <f t="shared" si="124"/>
        <v>2430.1</v>
      </c>
      <c r="N146" s="78">
        <f t="shared" si="125"/>
        <v>-399.78749999999991</v>
      </c>
      <c r="O146" s="78">
        <v>682.7</v>
      </c>
      <c r="P146" s="115">
        <v>519.20000000000005</v>
      </c>
      <c r="Q146" s="115">
        <v>163.5</v>
      </c>
      <c r="R146" s="115"/>
      <c r="S146" s="79">
        <f t="shared" ref="S146:S150" si="126">O146+R146</f>
        <v>682.7</v>
      </c>
      <c r="T146" s="115"/>
      <c r="U146" s="115"/>
      <c r="V146" s="147">
        <f>T146+U146</f>
        <v>0</v>
      </c>
      <c r="W146" s="82">
        <v>4</v>
      </c>
      <c r="X146" s="83"/>
      <c r="Y146" s="83">
        <v>2</v>
      </c>
      <c r="Z146" s="83"/>
      <c r="AA146" s="83"/>
      <c r="AB146" s="84">
        <f t="shared" ref="AB146:AB150" si="127">(Y146+AA146)-W146</f>
        <v>-2</v>
      </c>
      <c r="AC146" s="122">
        <f t="shared" si="68"/>
        <v>2</v>
      </c>
      <c r="AD146" s="85">
        <f t="shared" si="69"/>
        <v>-2</v>
      </c>
    </row>
    <row r="147" spans="1:30" ht="15.75" x14ac:dyDescent="0.25">
      <c r="A147" s="126"/>
      <c r="B147" s="187"/>
      <c r="C147" s="115" t="s">
        <v>150</v>
      </c>
      <c r="D147" s="74">
        <v>1.31</v>
      </c>
      <c r="E147" s="75">
        <v>2454.1</v>
      </c>
      <c r="F147" s="75">
        <f t="shared" si="117"/>
        <v>3214.8710000000001</v>
      </c>
      <c r="G147" s="148">
        <v>3090</v>
      </c>
      <c r="H147" s="115"/>
      <c r="I147" s="115"/>
      <c r="J147" s="78"/>
      <c r="K147" s="78"/>
      <c r="L147" s="78"/>
      <c r="M147" s="78">
        <f t="shared" si="124"/>
        <v>3090</v>
      </c>
      <c r="N147" s="78">
        <f t="shared" si="125"/>
        <v>-124.87100000000009</v>
      </c>
      <c r="O147" s="78">
        <v>947.2</v>
      </c>
      <c r="P147" s="115">
        <v>727.5</v>
      </c>
      <c r="Q147" s="115">
        <v>219.7</v>
      </c>
      <c r="R147" s="115"/>
      <c r="S147" s="79">
        <f t="shared" si="126"/>
        <v>947.2</v>
      </c>
      <c r="T147" s="115"/>
      <c r="U147" s="115"/>
      <c r="V147" s="147">
        <f>T147+U147</f>
        <v>0</v>
      </c>
      <c r="W147" s="82">
        <v>4</v>
      </c>
      <c r="X147" s="83"/>
      <c r="Y147" s="83">
        <v>3</v>
      </c>
      <c r="Z147" s="83"/>
      <c r="AA147" s="83"/>
      <c r="AB147" s="84">
        <f t="shared" si="127"/>
        <v>-1</v>
      </c>
      <c r="AC147" s="122">
        <f t="shared" si="68"/>
        <v>3</v>
      </c>
      <c r="AD147" s="85">
        <f t="shared" si="69"/>
        <v>-1</v>
      </c>
    </row>
    <row r="148" spans="1:30" ht="15.75" x14ac:dyDescent="0.25">
      <c r="A148" s="126"/>
      <c r="B148" s="187"/>
      <c r="C148" s="115" t="s">
        <v>151</v>
      </c>
      <c r="D148" s="74">
        <v>0.98499999999999999</v>
      </c>
      <c r="E148" s="75">
        <v>3199.3</v>
      </c>
      <c r="F148" s="75">
        <f t="shared" si="117"/>
        <v>3151.3105</v>
      </c>
      <c r="G148" s="148">
        <v>2782.4</v>
      </c>
      <c r="H148" s="115"/>
      <c r="I148" s="115"/>
      <c r="J148" s="78"/>
      <c r="K148" s="78"/>
      <c r="L148" s="78"/>
      <c r="M148" s="78">
        <f t="shared" si="124"/>
        <v>2782.4</v>
      </c>
      <c r="N148" s="78">
        <f t="shared" si="125"/>
        <v>-368.91049999999996</v>
      </c>
      <c r="O148" s="78">
        <v>1142.9000000000001</v>
      </c>
      <c r="P148" s="115">
        <v>878.5</v>
      </c>
      <c r="Q148" s="115">
        <v>260.39999999999998</v>
      </c>
      <c r="R148" s="115"/>
      <c r="S148" s="79">
        <f t="shared" si="126"/>
        <v>1142.9000000000001</v>
      </c>
      <c r="T148" s="115"/>
      <c r="U148" s="115"/>
      <c r="V148" s="147">
        <f>T148+U148</f>
        <v>0</v>
      </c>
      <c r="W148" s="82">
        <v>4</v>
      </c>
      <c r="X148" s="83"/>
      <c r="Y148" s="83">
        <v>4</v>
      </c>
      <c r="Z148" s="83"/>
      <c r="AA148" s="83"/>
      <c r="AB148" s="84">
        <f t="shared" si="127"/>
        <v>0</v>
      </c>
      <c r="AC148" s="122">
        <f t="shared" si="68"/>
        <v>4</v>
      </c>
      <c r="AD148" s="85">
        <f t="shared" si="69"/>
        <v>0</v>
      </c>
    </row>
    <row r="149" spans="1:30" ht="15.75" x14ac:dyDescent="0.25">
      <c r="A149" s="126">
        <v>36</v>
      </c>
      <c r="B149" s="187"/>
      <c r="C149" s="115" t="s">
        <v>152</v>
      </c>
      <c r="D149" s="74">
        <v>0.57699999999999996</v>
      </c>
      <c r="E149" s="75">
        <v>3101.5</v>
      </c>
      <c r="F149" s="75">
        <f t="shared" si="117"/>
        <v>1789.5654999999999</v>
      </c>
      <c r="G149" s="148">
        <v>1741.8</v>
      </c>
      <c r="H149" s="115"/>
      <c r="I149" s="115"/>
      <c r="J149" s="78"/>
      <c r="K149" s="78"/>
      <c r="L149" s="78"/>
      <c r="M149" s="78">
        <f t="shared" si="124"/>
        <v>1741.8</v>
      </c>
      <c r="N149" s="78">
        <f t="shared" si="125"/>
        <v>-47.765499999999975</v>
      </c>
      <c r="O149" s="78">
        <v>623.1</v>
      </c>
      <c r="P149" s="115">
        <v>479.8</v>
      </c>
      <c r="Q149" s="115">
        <v>143.30000000000001</v>
      </c>
      <c r="R149" s="115"/>
      <c r="S149" s="79">
        <f t="shared" si="126"/>
        <v>623.1</v>
      </c>
      <c r="T149" s="115"/>
      <c r="U149" s="115"/>
      <c r="V149" s="147">
        <f>T149+U149</f>
        <v>0</v>
      </c>
      <c r="W149" s="82">
        <v>3</v>
      </c>
      <c r="X149" s="83"/>
      <c r="Y149" s="83">
        <v>3</v>
      </c>
      <c r="Z149" s="83"/>
      <c r="AA149" s="83"/>
      <c r="AB149" s="84">
        <f t="shared" si="127"/>
        <v>0</v>
      </c>
      <c r="AC149" s="122">
        <f t="shared" si="68"/>
        <v>3</v>
      </c>
      <c r="AD149" s="85">
        <f t="shared" si="69"/>
        <v>0</v>
      </c>
    </row>
    <row r="150" spans="1:30" ht="15.75" x14ac:dyDescent="0.25">
      <c r="A150" s="126"/>
      <c r="B150" s="187"/>
      <c r="C150" s="115" t="s">
        <v>153</v>
      </c>
      <c r="D150" s="74">
        <v>1.0209999999999999</v>
      </c>
      <c r="E150" s="75">
        <v>2278.1</v>
      </c>
      <c r="F150" s="75">
        <f t="shared" si="117"/>
        <v>2325.9400999999998</v>
      </c>
      <c r="G150" s="148">
        <v>2133.5</v>
      </c>
      <c r="H150" s="115"/>
      <c r="I150" s="115"/>
      <c r="J150" s="78"/>
      <c r="K150" s="78"/>
      <c r="L150" s="78"/>
      <c r="M150" s="78">
        <f t="shared" si="124"/>
        <v>2133.5</v>
      </c>
      <c r="N150" s="78">
        <f t="shared" si="125"/>
        <v>-192.4400999999998</v>
      </c>
      <c r="O150" s="78">
        <v>1063.5999999999999</v>
      </c>
      <c r="P150" s="115">
        <v>806.8</v>
      </c>
      <c r="Q150" s="115">
        <v>256.89999999999998</v>
      </c>
      <c r="R150" s="115"/>
      <c r="S150" s="79">
        <f t="shared" si="126"/>
        <v>1063.5999999999999</v>
      </c>
      <c r="T150" s="115"/>
      <c r="U150" s="115"/>
      <c r="V150" s="147">
        <f>T150+U150</f>
        <v>0</v>
      </c>
      <c r="W150" s="82">
        <v>4</v>
      </c>
      <c r="X150" s="83"/>
      <c r="Y150" s="83">
        <v>3</v>
      </c>
      <c r="Z150" s="83"/>
      <c r="AA150" s="83"/>
      <c r="AB150" s="84">
        <f t="shared" si="127"/>
        <v>-1</v>
      </c>
      <c r="AC150" s="122">
        <f t="shared" si="68"/>
        <v>3</v>
      </c>
      <c r="AD150" s="85">
        <f t="shared" si="69"/>
        <v>-1</v>
      </c>
    </row>
    <row r="151" spans="1:30" ht="16.5" thickBot="1" x14ac:dyDescent="0.3">
      <c r="A151" s="126"/>
      <c r="B151" s="190"/>
      <c r="C151" s="99" t="s">
        <v>65</v>
      </c>
      <c r="D151" s="150"/>
      <c r="E151" s="92"/>
      <c r="F151" s="92"/>
      <c r="G151" s="151">
        <f>ROUND(SUM(G145:K150),3)</f>
        <v>12177.8</v>
      </c>
      <c r="H151" s="151">
        <f t="shared" ref="H151:K151" si="128">ROUND(SUM(H145:L150),3)</f>
        <v>0</v>
      </c>
      <c r="I151" s="151">
        <f t="shared" si="128"/>
        <v>12177.8</v>
      </c>
      <c r="J151" s="151">
        <f t="shared" si="128"/>
        <v>11044.025</v>
      </c>
      <c r="K151" s="151">
        <f t="shared" si="128"/>
        <v>15503.525</v>
      </c>
      <c r="L151" s="151">
        <f>ROUND(SUM(L145:L150),3)</f>
        <v>0</v>
      </c>
      <c r="M151" s="151">
        <f>ROUND(SUM(M145:M150),3)</f>
        <v>12177.8</v>
      </c>
      <c r="N151" s="94"/>
      <c r="O151" s="151">
        <f t="shared" ref="O151:S151" si="129">ROUND(SUM(O146:O150),3)</f>
        <v>4459.5</v>
      </c>
      <c r="P151" s="151">
        <f t="shared" si="129"/>
        <v>3411.8</v>
      </c>
      <c r="Q151" s="151">
        <f t="shared" si="129"/>
        <v>1043.8</v>
      </c>
      <c r="R151" s="151">
        <f t="shared" si="129"/>
        <v>0</v>
      </c>
      <c r="S151" s="151">
        <f t="shared" si="129"/>
        <v>4459.5</v>
      </c>
      <c r="T151" s="151">
        <f>ROUND(SUM(T146:T150),3)</f>
        <v>0</v>
      </c>
      <c r="U151" s="151">
        <f>ROUND(SUM(U146:U150),3)</f>
        <v>0</v>
      </c>
      <c r="V151" s="152">
        <f>ROUND(SUM(V146:V150),3)</f>
        <v>0</v>
      </c>
      <c r="W151" s="153"/>
      <c r="X151" s="151">
        <f t="shared" ref="X151" si="130">ROUND(SUM(X146:X150),3)</f>
        <v>0</v>
      </c>
      <c r="Y151" s="151">
        <f>ROUND(SUM(Y145:Y150),3)</f>
        <v>15</v>
      </c>
      <c r="Z151" s="151">
        <f t="shared" ref="Z151:AA151" si="131">ROUND(SUM(Z145:Z150),3)</f>
        <v>0</v>
      </c>
      <c r="AA151" s="151">
        <f t="shared" si="131"/>
        <v>0</v>
      </c>
      <c r="AB151" s="183"/>
      <c r="AC151" s="154">
        <f t="shared" si="68"/>
        <v>15</v>
      </c>
      <c r="AD151" s="101"/>
    </row>
    <row r="152" spans="1:30" ht="15.75" x14ac:dyDescent="0.25">
      <c r="A152" s="126"/>
      <c r="B152" s="203" t="s">
        <v>54</v>
      </c>
      <c r="C152" s="66" t="s">
        <v>154</v>
      </c>
      <c r="D152" s="103">
        <v>2.944</v>
      </c>
      <c r="E152" s="104">
        <v>1673.4</v>
      </c>
      <c r="F152" s="104">
        <f t="shared" si="117"/>
        <v>4926.4895999999999</v>
      </c>
      <c r="G152" s="140">
        <v>4840.1000000000004</v>
      </c>
      <c r="H152" s="141"/>
      <c r="I152" s="141"/>
      <c r="J152" s="106"/>
      <c r="K152" s="106"/>
      <c r="L152" s="106">
        <v>74.400000000000006</v>
      </c>
      <c r="M152" s="106">
        <f t="shared" ref="M152:M157" si="132">G152+L152</f>
        <v>4914.5</v>
      </c>
      <c r="N152" s="106">
        <f t="shared" ref="N152:N157" si="133">M152-F152</f>
        <v>-11.989599999999882</v>
      </c>
      <c r="O152" s="106">
        <v>2131.1</v>
      </c>
      <c r="P152" s="141">
        <v>1636.8</v>
      </c>
      <c r="Q152" s="141">
        <v>494.3</v>
      </c>
      <c r="R152" s="141">
        <v>10</v>
      </c>
      <c r="S152" s="107">
        <f t="shared" ref="S152:S157" si="134">O152+R152</f>
        <v>2141.1</v>
      </c>
      <c r="T152" s="141"/>
      <c r="U152" s="141"/>
      <c r="V152" s="142">
        <f t="shared" ref="V152:V157" si="135">T152+U152</f>
        <v>0</v>
      </c>
      <c r="W152" s="110">
        <v>5</v>
      </c>
      <c r="X152" s="66"/>
      <c r="Y152" s="66">
        <v>4.9000000000000004</v>
      </c>
      <c r="Z152" s="66"/>
      <c r="AA152" s="66">
        <v>0.1</v>
      </c>
      <c r="AB152" s="111">
        <f t="shared" ref="AB152:AB157" si="136">(Y152+AA152)-W152</f>
        <v>0</v>
      </c>
      <c r="AC152" s="143">
        <f t="shared" si="68"/>
        <v>5</v>
      </c>
      <c r="AD152" s="112">
        <f t="shared" si="69"/>
        <v>0</v>
      </c>
    </row>
    <row r="153" spans="1:30" ht="15.75" x14ac:dyDescent="0.25">
      <c r="A153" s="126"/>
      <c r="B153" s="204"/>
      <c r="C153" s="205" t="s">
        <v>155</v>
      </c>
      <c r="D153" s="74">
        <v>1.6539999999999999</v>
      </c>
      <c r="E153" s="75">
        <v>3130.7</v>
      </c>
      <c r="F153" s="75">
        <f t="shared" si="117"/>
        <v>5178.1777999999995</v>
      </c>
      <c r="G153" s="148">
        <v>4396</v>
      </c>
      <c r="H153" s="115"/>
      <c r="I153" s="115"/>
      <c r="J153" s="78"/>
      <c r="K153" s="78"/>
      <c r="L153" s="78"/>
      <c r="M153" s="78">
        <f t="shared" si="132"/>
        <v>4396</v>
      </c>
      <c r="N153" s="78">
        <f t="shared" si="133"/>
        <v>-782.17779999999948</v>
      </c>
      <c r="O153" s="78">
        <v>1990.3</v>
      </c>
      <c r="P153" s="115">
        <v>1536.6</v>
      </c>
      <c r="Q153" s="115">
        <v>453.7</v>
      </c>
      <c r="R153" s="115"/>
      <c r="S153" s="79">
        <f t="shared" si="134"/>
        <v>1990.3</v>
      </c>
      <c r="T153" s="115"/>
      <c r="U153" s="115"/>
      <c r="V153" s="147">
        <f t="shared" si="135"/>
        <v>0</v>
      </c>
      <c r="W153" s="82">
        <v>4</v>
      </c>
      <c r="X153" s="83"/>
      <c r="Y153" s="83">
        <v>4</v>
      </c>
      <c r="Z153" s="83"/>
      <c r="AA153" s="83"/>
      <c r="AB153" s="84">
        <f t="shared" si="136"/>
        <v>0</v>
      </c>
      <c r="AC153" s="122">
        <f t="shared" si="68"/>
        <v>4</v>
      </c>
      <c r="AD153" s="85">
        <f t="shared" si="69"/>
        <v>0</v>
      </c>
    </row>
    <row r="154" spans="1:30" ht="15.75" x14ac:dyDescent="0.25">
      <c r="A154" s="126"/>
      <c r="B154" s="204"/>
      <c r="C154" s="115" t="s">
        <v>156</v>
      </c>
      <c r="D154" s="74">
        <v>0.89800000000000002</v>
      </c>
      <c r="E154" s="75">
        <v>3718.9</v>
      </c>
      <c r="F154" s="75">
        <f t="shared" si="117"/>
        <v>3339.5722000000001</v>
      </c>
      <c r="G154" s="148">
        <v>2987</v>
      </c>
      <c r="H154" s="115"/>
      <c r="I154" s="115"/>
      <c r="J154" s="78"/>
      <c r="K154" s="78"/>
      <c r="L154" s="78"/>
      <c r="M154" s="78">
        <f t="shared" si="132"/>
        <v>2987</v>
      </c>
      <c r="N154" s="78">
        <f t="shared" si="133"/>
        <v>-352.57220000000007</v>
      </c>
      <c r="O154" s="78">
        <v>964.9</v>
      </c>
      <c r="P154" s="115">
        <v>743.1</v>
      </c>
      <c r="Q154" s="115">
        <v>221.8</v>
      </c>
      <c r="R154" s="115"/>
      <c r="S154" s="79">
        <f t="shared" si="134"/>
        <v>964.9</v>
      </c>
      <c r="T154" s="115"/>
      <c r="U154" s="115"/>
      <c r="V154" s="147">
        <f t="shared" si="135"/>
        <v>0</v>
      </c>
      <c r="W154" s="82">
        <v>4</v>
      </c>
      <c r="X154" s="83"/>
      <c r="Y154" s="83">
        <v>3</v>
      </c>
      <c r="Z154" s="83"/>
      <c r="AA154" s="83"/>
      <c r="AB154" s="84">
        <f t="shared" si="136"/>
        <v>-1</v>
      </c>
      <c r="AC154" s="122">
        <f t="shared" si="68"/>
        <v>3</v>
      </c>
      <c r="AD154" s="85">
        <f t="shared" si="69"/>
        <v>-1</v>
      </c>
    </row>
    <row r="155" spans="1:30" ht="15.75" x14ac:dyDescent="0.25">
      <c r="A155" s="126"/>
      <c r="B155" s="204"/>
      <c r="C155" s="206" t="s">
        <v>157</v>
      </c>
      <c r="D155" s="74">
        <v>1.675</v>
      </c>
      <c r="E155" s="75">
        <v>2700.2</v>
      </c>
      <c r="F155" s="75">
        <f t="shared" si="117"/>
        <v>4522.835</v>
      </c>
      <c r="G155" s="148">
        <v>4411.8</v>
      </c>
      <c r="H155" s="115"/>
      <c r="I155" s="115"/>
      <c r="J155" s="78"/>
      <c r="K155" s="78"/>
      <c r="L155" s="78"/>
      <c r="M155" s="78">
        <f t="shared" si="132"/>
        <v>4411.8</v>
      </c>
      <c r="N155" s="78">
        <f t="shared" si="133"/>
        <v>-111.03499999999985</v>
      </c>
      <c r="O155" s="78">
        <v>1662</v>
      </c>
      <c r="P155" s="115">
        <v>1298.5</v>
      </c>
      <c r="Q155" s="115">
        <v>363.5</v>
      </c>
      <c r="R155" s="115"/>
      <c r="S155" s="79">
        <f t="shared" si="134"/>
        <v>1662</v>
      </c>
      <c r="T155" s="115"/>
      <c r="U155" s="115"/>
      <c r="V155" s="147">
        <f t="shared" si="135"/>
        <v>0</v>
      </c>
      <c r="W155" s="116">
        <v>5</v>
      </c>
      <c r="X155" s="83"/>
      <c r="Y155" s="83">
        <v>5</v>
      </c>
      <c r="Z155" s="83"/>
      <c r="AA155" s="83"/>
      <c r="AB155" s="84">
        <f t="shared" si="136"/>
        <v>0</v>
      </c>
      <c r="AC155" s="122">
        <f t="shared" si="68"/>
        <v>5</v>
      </c>
      <c r="AD155" s="85">
        <f t="shared" si="69"/>
        <v>0</v>
      </c>
    </row>
    <row r="156" spans="1:30" ht="15.75" x14ac:dyDescent="0.25">
      <c r="A156" s="126"/>
      <c r="B156" s="204"/>
      <c r="C156" s="205" t="s">
        <v>158</v>
      </c>
      <c r="D156" s="74">
        <v>1.129</v>
      </c>
      <c r="E156" s="75">
        <v>2365.3000000000002</v>
      </c>
      <c r="F156" s="75">
        <f t="shared" si="117"/>
        <v>2670.4237000000003</v>
      </c>
      <c r="G156" s="148">
        <v>2670.2</v>
      </c>
      <c r="H156" s="115"/>
      <c r="I156" s="115"/>
      <c r="J156" s="78"/>
      <c r="K156" s="78"/>
      <c r="L156" s="78"/>
      <c r="M156" s="78">
        <f t="shared" si="132"/>
        <v>2670.2</v>
      </c>
      <c r="N156" s="78">
        <f t="shared" si="133"/>
        <v>-0.22370000000046275</v>
      </c>
      <c r="O156" s="78">
        <v>1169</v>
      </c>
      <c r="P156" s="115">
        <v>852.3</v>
      </c>
      <c r="Q156" s="115">
        <v>316.7</v>
      </c>
      <c r="R156" s="115"/>
      <c r="S156" s="79">
        <f t="shared" si="134"/>
        <v>1169</v>
      </c>
      <c r="T156" s="115"/>
      <c r="U156" s="115"/>
      <c r="V156" s="147">
        <f t="shared" si="135"/>
        <v>0</v>
      </c>
      <c r="W156" s="82">
        <v>4</v>
      </c>
      <c r="X156" s="83"/>
      <c r="Y156" s="83">
        <v>3</v>
      </c>
      <c r="Z156" s="83"/>
      <c r="AA156" s="83"/>
      <c r="AB156" s="84">
        <f t="shared" si="136"/>
        <v>-1</v>
      </c>
      <c r="AC156" s="122">
        <f t="shared" ref="AC156:AC179" si="137">Y156+AA156</f>
        <v>3</v>
      </c>
      <c r="AD156" s="85">
        <f t="shared" ref="AD156:AD178" si="138">AC156-W156</f>
        <v>-1</v>
      </c>
    </row>
    <row r="157" spans="1:30" ht="15.75" x14ac:dyDescent="0.25">
      <c r="A157" s="126"/>
      <c r="B157" s="204"/>
      <c r="C157" s="166" t="s">
        <v>159</v>
      </c>
      <c r="D157" s="74">
        <v>1.984</v>
      </c>
      <c r="E157" s="75">
        <v>2294.4</v>
      </c>
      <c r="F157" s="75">
        <f t="shared" si="117"/>
        <v>4552.0896000000002</v>
      </c>
      <c r="G157" s="148">
        <v>4208</v>
      </c>
      <c r="H157" s="115"/>
      <c r="I157" s="115"/>
      <c r="J157" s="78"/>
      <c r="K157" s="78"/>
      <c r="L157" s="78"/>
      <c r="M157" s="78">
        <f t="shared" si="132"/>
        <v>4208</v>
      </c>
      <c r="N157" s="78">
        <f t="shared" si="133"/>
        <v>-344.08960000000025</v>
      </c>
      <c r="O157" s="78">
        <v>2173.9</v>
      </c>
      <c r="P157" s="115">
        <v>1672.4</v>
      </c>
      <c r="Q157" s="115">
        <v>501.5</v>
      </c>
      <c r="R157" s="115"/>
      <c r="S157" s="79">
        <f t="shared" si="134"/>
        <v>2173.9</v>
      </c>
      <c r="T157" s="115"/>
      <c r="U157" s="115"/>
      <c r="V157" s="147">
        <f t="shared" si="135"/>
        <v>0</v>
      </c>
      <c r="W157" s="116">
        <v>5</v>
      </c>
      <c r="X157" s="83"/>
      <c r="Y157" s="83">
        <v>5</v>
      </c>
      <c r="Z157" s="83"/>
      <c r="AA157" s="83"/>
      <c r="AB157" s="84">
        <f t="shared" si="136"/>
        <v>0</v>
      </c>
      <c r="AC157" s="122">
        <f t="shared" si="137"/>
        <v>5</v>
      </c>
      <c r="AD157" s="85">
        <f t="shared" si="138"/>
        <v>0</v>
      </c>
    </row>
    <row r="158" spans="1:30" ht="14.25" customHeight="1" thickBot="1" x14ac:dyDescent="0.3">
      <c r="A158" s="126"/>
      <c r="B158" s="207"/>
      <c r="C158" s="99" t="s">
        <v>65</v>
      </c>
      <c r="D158" s="150"/>
      <c r="E158" s="92"/>
      <c r="F158" s="92"/>
      <c r="G158" s="151">
        <f t="shared" ref="G158:V158" si="139">ROUND(SUM(G152:G157),3)</f>
        <v>23513.1</v>
      </c>
      <c r="H158" s="151">
        <f t="shared" si="139"/>
        <v>0</v>
      </c>
      <c r="I158" s="151">
        <f t="shared" si="139"/>
        <v>0</v>
      </c>
      <c r="J158" s="151">
        <f t="shared" si="139"/>
        <v>0</v>
      </c>
      <c r="K158" s="151">
        <f t="shared" si="139"/>
        <v>0</v>
      </c>
      <c r="L158" s="151">
        <f t="shared" si="139"/>
        <v>74.400000000000006</v>
      </c>
      <c r="M158" s="151">
        <f t="shared" si="139"/>
        <v>23587.5</v>
      </c>
      <c r="N158" s="94"/>
      <c r="O158" s="151">
        <f t="shared" ref="O158:S158" si="140">ROUND(SUM(O152:O157),3)</f>
        <v>10091.200000000001</v>
      </c>
      <c r="P158" s="151">
        <f t="shared" si="140"/>
        <v>7739.7</v>
      </c>
      <c r="Q158" s="151">
        <f t="shared" si="140"/>
        <v>2351.5</v>
      </c>
      <c r="R158" s="151">
        <f t="shared" si="140"/>
        <v>10</v>
      </c>
      <c r="S158" s="151">
        <f t="shared" si="140"/>
        <v>10101.200000000001</v>
      </c>
      <c r="T158" s="151">
        <f t="shared" si="139"/>
        <v>0</v>
      </c>
      <c r="U158" s="151">
        <f t="shared" si="139"/>
        <v>0</v>
      </c>
      <c r="V158" s="152">
        <f t="shared" si="139"/>
        <v>0</v>
      </c>
      <c r="W158" s="153"/>
      <c r="X158" s="151">
        <f t="shared" ref="X158:AA158" si="141">ROUND(SUM(X152:X157),3)</f>
        <v>0</v>
      </c>
      <c r="Y158" s="151">
        <f t="shared" si="141"/>
        <v>24.9</v>
      </c>
      <c r="Z158" s="151">
        <f t="shared" si="141"/>
        <v>0</v>
      </c>
      <c r="AA158" s="151">
        <f t="shared" si="141"/>
        <v>0.1</v>
      </c>
      <c r="AB158" s="99"/>
      <c r="AC158" s="154">
        <f t="shared" si="137"/>
        <v>25</v>
      </c>
      <c r="AD158" s="101"/>
    </row>
    <row r="159" spans="1:30" ht="15.75" x14ac:dyDescent="0.25">
      <c r="A159" s="126"/>
      <c r="B159" s="139" t="s">
        <v>55</v>
      </c>
      <c r="C159" s="66" t="s">
        <v>160</v>
      </c>
      <c r="D159" s="103">
        <v>3.2719999999999998</v>
      </c>
      <c r="E159" s="104">
        <v>1799.2</v>
      </c>
      <c r="F159" s="104">
        <f t="shared" si="117"/>
        <v>5886.9823999999999</v>
      </c>
      <c r="G159" s="140">
        <v>5345</v>
      </c>
      <c r="H159" s="141"/>
      <c r="I159" s="141"/>
      <c r="J159" s="106"/>
      <c r="K159" s="106"/>
      <c r="L159" s="106">
        <v>76.599999999999994</v>
      </c>
      <c r="M159" s="106">
        <f t="shared" ref="M159:M166" si="142">G159+L159</f>
        <v>5421.6</v>
      </c>
      <c r="N159" s="106">
        <f t="shared" ref="N159:N166" si="143">M159-F159</f>
        <v>-465.38239999999951</v>
      </c>
      <c r="O159" s="106">
        <v>2233.1999999999998</v>
      </c>
      <c r="P159" s="141">
        <v>1715.2</v>
      </c>
      <c r="Q159" s="141">
        <v>518</v>
      </c>
      <c r="R159" s="141"/>
      <c r="S159" s="107">
        <f t="shared" ref="S159:S166" si="144">O159+R159</f>
        <v>2233.1999999999998</v>
      </c>
      <c r="T159" s="141"/>
      <c r="U159" s="141"/>
      <c r="V159" s="142">
        <f t="shared" ref="V159:V166" si="145">T159+U159</f>
        <v>0</v>
      </c>
      <c r="W159" s="110">
        <v>6</v>
      </c>
      <c r="X159" s="66"/>
      <c r="Y159" s="66">
        <v>5</v>
      </c>
      <c r="Z159" s="66"/>
      <c r="AA159" s="66"/>
      <c r="AB159" s="111">
        <f t="shared" ref="AB159:AB166" si="146">(Y159+AA159)-W159</f>
        <v>-1</v>
      </c>
      <c r="AC159" s="143">
        <f t="shared" si="137"/>
        <v>5</v>
      </c>
      <c r="AD159" s="112">
        <f t="shared" si="138"/>
        <v>-1</v>
      </c>
    </row>
    <row r="160" spans="1:30" ht="15.75" x14ac:dyDescent="0.25">
      <c r="A160" s="126"/>
      <c r="B160" s="144"/>
      <c r="C160" s="196" t="s">
        <v>161</v>
      </c>
      <c r="D160" s="74">
        <v>1.631</v>
      </c>
      <c r="E160" s="75">
        <v>2270.1999999999998</v>
      </c>
      <c r="F160" s="75">
        <f t="shared" si="117"/>
        <v>3702.6961999999999</v>
      </c>
      <c r="G160" s="148">
        <v>3402.9</v>
      </c>
      <c r="H160" s="115"/>
      <c r="I160" s="115"/>
      <c r="J160" s="78"/>
      <c r="K160" s="78"/>
      <c r="L160" s="78">
        <v>38</v>
      </c>
      <c r="M160" s="78">
        <f t="shared" si="142"/>
        <v>3440.9</v>
      </c>
      <c r="N160" s="78">
        <f t="shared" si="143"/>
        <v>-261.79619999999977</v>
      </c>
      <c r="O160" s="78">
        <v>1958.8</v>
      </c>
      <c r="P160" s="115">
        <v>1504.4</v>
      </c>
      <c r="Q160" s="115">
        <v>454.3</v>
      </c>
      <c r="R160" s="115"/>
      <c r="S160" s="79">
        <f t="shared" si="144"/>
        <v>1958.8</v>
      </c>
      <c r="T160" s="115"/>
      <c r="U160" s="115"/>
      <c r="V160" s="147">
        <f t="shared" si="145"/>
        <v>0</v>
      </c>
      <c r="W160" s="82">
        <v>5</v>
      </c>
      <c r="X160" s="83"/>
      <c r="Y160" s="83">
        <v>5</v>
      </c>
      <c r="Z160" s="83"/>
      <c r="AA160" s="83"/>
      <c r="AB160" s="84">
        <f t="shared" si="146"/>
        <v>0</v>
      </c>
      <c r="AC160" s="122">
        <f t="shared" si="137"/>
        <v>5</v>
      </c>
      <c r="AD160" s="85">
        <f t="shared" si="138"/>
        <v>0</v>
      </c>
    </row>
    <row r="161" spans="1:30" ht="15.75" x14ac:dyDescent="0.25">
      <c r="A161" s="126"/>
      <c r="B161" s="144"/>
      <c r="C161" s="115" t="s">
        <v>162</v>
      </c>
      <c r="D161" s="74">
        <v>2.1789999999999998</v>
      </c>
      <c r="E161" s="75">
        <v>2212.3000000000002</v>
      </c>
      <c r="F161" s="75">
        <f t="shared" si="117"/>
        <v>4820.6017000000002</v>
      </c>
      <c r="G161" s="148">
        <v>4566</v>
      </c>
      <c r="H161" s="115"/>
      <c r="I161" s="115"/>
      <c r="J161" s="78"/>
      <c r="K161" s="78"/>
      <c r="L161" s="78">
        <v>50.5</v>
      </c>
      <c r="M161" s="78">
        <f t="shared" si="142"/>
        <v>4616.5</v>
      </c>
      <c r="N161" s="78">
        <f t="shared" si="143"/>
        <v>-204.10170000000016</v>
      </c>
      <c r="O161" s="78">
        <v>2233.1</v>
      </c>
      <c r="P161" s="115">
        <v>1718.8</v>
      </c>
      <c r="Q161" s="115">
        <v>519.1</v>
      </c>
      <c r="R161" s="115"/>
      <c r="S161" s="79">
        <f t="shared" si="144"/>
        <v>2233.1</v>
      </c>
      <c r="T161" s="115"/>
      <c r="U161" s="115"/>
      <c r="V161" s="147">
        <f t="shared" si="145"/>
        <v>0</v>
      </c>
      <c r="W161" s="82">
        <v>5</v>
      </c>
      <c r="X161" s="83"/>
      <c r="Y161" s="83">
        <v>5</v>
      </c>
      <c r="Z161" s="83"/>
      <c r="AA161" s="83"/>
      <c r="AB161" s="84">
        <f t="shared" si="146"/>
        <v>0</v>
      </c>
      <c r="AC161" s="122">
        <f t="shared" si="137"/>
        <v>5</v>
      </c>
      <c r="AD161" s="85">
        <f t="shared" si="138"/>
        <v>0</v>
      </c>
    </row>
    <row r="162" spans="1:30" ht="15.75" x14ac:dyDescent="0.25">
      <c r="A162" s="126"/>
      <c r="B162" s="144"/>
      <c r="C162" s="115" t="s">
        <v>163</v>
      </c>
      <c r="D162" s="74">
        <v>1.706</v>
      </c>
      <c r="E162" s="75">
        <v>2447.3000000000002</v>
      </c>
      <c r="F162" s="75">
        <f t="shared" si="117"/>
        <v>4175.0938000000006</v>
      </c>
      <c r="G162" s="148">
        <v>3947</v>
      </c>
      <c r="H162" s="115"/>
      <c r="I162" s="115"/>
      <c r="J162" s="78"/>
      <c r="K162" s="78"/>
      <c r="L162" s="78">
        <v>40.9</v>
      </c>
      <c r="M162" s="78">
        <f t="shared" si="142"/>
        <v>3987.9</v>
      </c>
      <c r="N162" s="78">
        <f t="shared" si="143"/>
        <v>-187.19380000000046</v>
      </c>
      <c r="O162" s="78">
        <v>1214.4000000000001</v>
      </c>
      <c r="P162" s="115">
        <v>932.7</v>
      </c>
      <c r="Q162" s="115">
        <v>281.7</v>
      </c>
      <c r="R162" s="115"/>
      <c r="S162" s="79">
        <f t="shared" si="144"/>
        <v>1214.4000000000001</v>
      </c>
      <c r="T162" s="115"/>
      <c r="U162" s="115"/>
      <c r="V162" s="147">
        <f t="shared" si="145"/>
        <v>0</v>
      </c>
      <c r="W162" s="82">
        <v>5</v>
      </c>
      <c r="X162" s="83"/>
      <c r="Y162" s="83">
        <v>3</v>
      </c>
      <c r="Z162" s="83"/>
      <c r="AA162" s="83"/>
      <c r="AB162" s="84">
        <f t="shared" si="146"/>
        <v>-2</v>
      </c>
      <c r="AC162" s="122">
        <f t="shared" si="137"/>
        <v>3</v>
      </c>
      <c r="AD162" s="85">
        <f t="shared" si="138"/>
        <v>-2</v>
      </c>
    </row>
    <row r="163" spans="1:30" ht="15.75" x14ac:dyDescent="0.25">
      <c r="A163" s="126"/>
      <c r="B163" s="144"/>
      <c r="C163" s="115" t="s">
        <v>164</v>
      </c>
      <c r="D163" s="74">
        <v>3.1419999999999999</v>
      </c>
      <c r="E163" s="75">
        <v>1655.8</v>
      </c>
      <c r="F163" s="75">
        <f t="shared" si="117"/>
        <v>5202.5235999999995</v>
      </c>
      <c r="G163" s="148">
        <v>4755.3999999999996</v>
      </c>
      <c r="H163" s="115"/>
      <c r="I163" s="115"/>
      <c r="J163" s="78"/>
      <c r="K163" s="78"/>
      <c r="L163" s="78">
        <v>73.599999999999994</v>
      </c>
      <c r="M163" s="78">
        <f t="shared" si="142"/>
        <v>4829</v>
      </c>
      <c r="N163" s="78">
        <f t="shared" si="143"/>
        <v>-373.52359999999953</v>
      </c>
      <c r="O163" s="78">
        <v>1832.7</v>
      </c>
      <c r="P163" s="115">
        <v>1407.6</v>
      </c>
      <c r="Q163" s="115">
        <v>425.1</v>
      </c>
      <c r="R163" s="115"/>
      <c r="S163" s="79">
        <f t="shared" si="144"/>
        <v>1832.7</v>
      </c>
      <c r="T163" s="115"/>
      <c r="U163" s="115"/>
      <c r="V163" s="147">
        <f t="shared" si="145"/>
        <v>0</v>
      </c>
      <c r="W163" s="82">
        <v>5</v>
      </c>
      <c r="X163" s="83"/>
      <c r="Y163" s="83">
        <v>4</v>
      </c>
      <c r="Z163" s="83"/>
      <c r="AA163" s="83"/>
      <c r="AB163" s="84">
        <f t="shared" si="146"/>
        <v>-1</v>
      </c>
      <c r="AC163" s="122">
        <f t="shared" si="137"/>
        <v>4</v>
      </c>
      <c r="AD163" s="85">
        <f t="shared" si="138"/>
        <v>-1</v>
      </c>
    </row>
    <row r="164" spans="1:30" ht="15.75" x14ac:dyDescent="0.25">
      <c r="A164" s="126"/>
      <c r="B164" s="144"/>
      <c r="C164" s="115" t="s">
        <v>165</v>
      </c>
      <c r="D164" s="74">
        <v>3.3119999999999998</v>
      </c>
      <c r="E164" s="75">
        <v>1812.5</v>
      </c>
      <c r="F164" s="75">
        <f t="shared" si="117"/>
        <v>6003</v>
      </c>
      <c r="G164" s="148">
        <v>5564.2</v>
      </c>
      <c r="H164" s="115"/>
      <c r="I164" s="115"/>
      <c r="J164" s="78"/>
      <c r="K164" s="78"/>
      <c r="L164" s="78">
        <v>76.8</v>
      </c>
      <c r="M164" s="78">
        <f t="shared" si="142"/>
        <v>5641</v>
      </c>
      <c r="N164" s="78">
        <f t="shared" si="143"/>
        <v>-362</v>
      </c>
      <c r="O164" s="78">
        <v>2636.4</v>
      </c>
      <c r="P164" s="115">
        <v>2024.8</v>
      </c>
      <c r="Q164" s="115">
        <v>611.5</v>
      </c>
      <c r="R164" s="115"/>
      <c r="S164" s="79">
        <f t="shared" si="144"/>
        <v>2636.4</v>
      </c>
      <c r="T164" s="115"/>
      <c r="U164" s="115"/>
      <c r="V164" s="147">
        <f t="shared" si="145"/>
        <v>0</v>
      </c>
      <c r="W164" s="82">
        <v>5</v>
      </c>
      <c r="X164" s="83"/>
      <c r="Y164" s="83">
        <v>5</v>
      </c>
      <c r="Z164" s="83"/>
      <c r="AA164" s="83"/>
      <c r="AB164" s="84">
        <f t="shared" si="146"/>
        <v>0</v>
      </c>
      <c r="AC164" s="122">
        <f t="shared" si="137"/>
        <v>5</v>
      </c>
      <c r="AD164" s="85">
        <f t="shared" si="138"/>
        <v>0</v>
      </c>
    </row>
    <row r="165" spans="1:30" ht="15.75" x14ac:dyDescent="0.25">
      <c r="A165" s="126"/>
      <c r="B165" s="144"/>
      <c r="C165" s="115" t="s">
        <v>166</v>
      </c>
      <c r="D165" s="74">
        <v>1.536</v>
      </c>
      <c r="E165" s="75">
        <v>1894.9</v>
      </c>
      <c r="F165" s="75">
        <f t="shared" si="117"/>
        <v>2910.5664000000002</v>
      </c>
      <c r="G165" s="148">
        <v>2874</v>
      </c>
      <c r="H165" s="115"/>
      <c r="I165" s="115"/>
      <c r="J165" s="78"/>
      <c r="K165" s="78"/>
      <c r="L165" s="78">
        <v>35.799999999999997</v>
      </c>
      <c r="M165" s="78">
        <f t="shared" si="142"/>
        <v>2909.8</v>
      </c>
      <c r="N165" s="78">
        <f t="shared" si="143"/>
        <v>-0.76639999999997599</v>
      </c>
      <c r="O165" s="78">
        <v>1508.7</v>
      </c>
      <c r="P165" s="115">
        <v>1161.4000000000001</v>
      </c>
      <c r="Q165" s="115">
        <v>347.3</v>
      </c>
      <c r="R165" s="115"/>
      <c r="S165" s="79">
        <f t="shared" si="144"/>
        <v>1508.7</v>
      </c>
      <c r="T165" s="115"/>
      <c r="U165" s="115"/>
      <c r="V165" s="147">
        <f t="shared" si="145"/>
        <v>0</v>
      </c>
      <c r="W165" s="82">
        <v>4</v>
      </c>
      <c r="X165" s="83"/>
      <c r="Y165" s="83">
        <v>4</v>
      </c>
      <c r="Z165" s="83"/>
      <c r="AA165" s="83"/>
      <c r="AB165" s="84">
        <f t="shared" si="146"/>
        <v>0</v>
      </c>
      <c r="AC165" s="122">
        <f t="shared" si="137"/>
        <v>4</v>
      </c>
      <c r="AD165" s="85">
        <f t="shared" si="138"/>
        <v>0</v>
      </c>
    </row>
    <row r="166" spans="1:30" ht="15.75" x14ac:dyDescent="0.25">
      <c r="A166" s="126"/>
      <c r="B166" s="144"/>
      <c r="C166" s="115" t="s">
        <v>167</v>
      </c>
      <c r="D166" s="74">
        <v>3.2730000000000001</v>
      </c>
      <c r="E166" s="75">
        <v>1842.9</v>
      </c>
      <c r="F166" s="75">
        <f t="shared" si="117"/>
        <v>6031.8117000000002</v>
      </c>
      <c r="G166" s="148">
        <v>5536.9</v>
      </c>
      <c r="H166" s="115"/>
      <c r="I166" s="115"/>
      <c r="J166" s="78"/>
      <c r="K166" s="78"/>
      <c r="L166" s="78">
        <v>75.900000000000006</v>
      </c>
      <c r="M166" s="78">
        <f t="shared" si="142"/>
        <v>5612.7999999999993</v>
      </c>
      <c r="N166" s="78">
        <f t="shared" si="143"/>
        <v>-419.01170000000093</v>
      </c>
      <c r="O166" s="78">
        <v>2977.3</v>
      </c>
      <c r="P166" s="115">
        <v>2286.6999999999998</v>
      </c>
      <c r="Q166" s="115">
        <v>690.6</v>
      </c>
      <c r="R166" s="115"/>
      <c r="S166" s="79">
        <f t="shared" si="144"/>
        <v>2977.3</v>
      </c>
      <c r="T166" s="115"/>
      <c r="U166" s="115"/>
      <c r="V166" s="147">
        <f t="shared" si="145"/>
        <v>0</v>
      </c>
      <c r="W166" s="82">
        <v>5</v>
      </c>
      <c r="X166" s="83"/>
      <c r="Y166" s="83">
        <v>5</v>
      </c>
      <c r="Z166" s="83"/>
      <c r="AA166" s="83"/>
      <c r="AB166" s="84">
        <f t="shared" si="146"/>
        <v>0</v>
      </c>
      <c r="AC166" s="122">
        <f t="shared" si="137"/>
        <v>5</v>
      </c>
      <c r="AD166" s="85">
        <f t="shared" si="138"/>
        <v>0</v>
      </c>
    </row>
    <row r="167" spans="1:30" ht="16.5" thickBot="1" x14ac:dyDescent="0.3">
      <c r="A167" s="126"/>
      <c r="B167" s="149"/>
      <c r="C167" s="99" t="s">
        <v>65</v>
      </c>
      <c r="D167" s="150"/>
      <c r="E167" s="92"/>
      <c r="F167" s="92"/>
      <c r="G167" s="151">
        <f t="shared" ref="G167:V167" si="147">ROUND(SUM(G159:G166),3)</f>
        <v>35991.4</v>
      </c>
      <c r="H167" s="151">
        <f t="shared" si="147"/>
        <v>0</v>
      </c>
      <c r="I167" s="151">
        <f t="shared" si="147"/>
        <v>0</v>
      </c>
      <c r="J167" s="151">
        <f t="shared" si="147"/>
        <v>0</v>
      </c>
      <c r="K167" s="151">
        <f t="shared" si="147"/>
        <v>0</v>
      </c>
      <c r="L167" s="151">
        <f t="shared" si="147"/>
        <v>468.1</v>
      </c>
      <c r="M167" s="151">
        <f t="shared" si="147"/>
        <v>36459.5</v>
      </c>
      <c r="N167" s="94"/>
      <c r="O167" s="151">
        <f t="shared" ref="O167:S167" si="148">ROUND(SUM(O159:O166),3)</f>
        <v>16594.599999999999</v>
      </c>
      <c r="P167" s="151">
        <f t="shared" si="148"/>
        <v>12751.6</v>
      </c>
      <c r="Q167" s="151">
        <f t="shared" si="148"/>
        <v>3847.6</v>
      </c>
      <c r="R167" s="151">
        <f t="shared" si="148"/>
        <v>0</v>
      </c>
      <c r="S167" s="151">
        <f t="shared" si="148"/>
        <v>16594.599999999999</v>
      </c>
      <c r="T167" s="151">
        <f t="shared" si="147"/>
        <v>0</v>
      </c>
      <c r="U167" s="151">
        <f t="shared" si="147"/>
        <v>0</v>
      </c>
      <c r="V167" s="152">
        <f t="shared" si="147"/>
        <v>0</v>
      </c>
      <c r="W167" s="153"/>
      <c r="X167" s="151">
        <f t="shared" ref="X167:AA167" si="149">ROUND(SUM(X159:X166),3)</f>
        <v>0</v>
      </c>
      <c r="Y167" s="151">
        <f t="shared" si="149"/>
        <v>36</v>
      </c>
      <c r="Z167" s="151">
        <f t="shared" si="149"/>
        <v>0</v>
      </c>
      <c r="AA167" s="151">
        <f t="shared" si="149"/>
        <v>0</v>
      </c>
      <c r="AB167" s="99"/>
      <c r="AC167" s="154">
        <f t="shared" si="137"/>
        <v>36</v>
      </c>
      <c r="AD167" s="101"/>
    </row>
    <row r="168" spans="1:30" ht="15.75" x14ac:dyDescent="0.25">
      <c r="A168" s="126"/>
      <c r="B168" s="139" t="s">
        <v>56</v>
      </c>
      <c r="C168" s="66" t="s">
        <v>168</v>
      </c>
      <c r="D168" s="103">
        <v>12.323</v>
      </c>
      <c r="E168" s="104">
        <v>249.1</v>
      </c>
      <c r="F168" s="104">
        <f t="shared" si="117"/>
        <v>3069.6592999999998</v>
      </c>
      <c r="G168" s="140">
        <v>2989.4</v>
      </c>
      <c r="H168" s="141"/>
      <c r="I168" s="141"/>
      <c r="J168" s="106"/>
      <c r="K168" s="106"/>
      <c r="L168" s="106">
        <v>3.6</v>
      </c>
      <c r="M168" s="106">
        <f t="shared" ref="M168:M173" si="150">G168+L168</f>
        <v>2993</v>
      </c>
      <c r="N168" s="106">
        <f t="shared" ref="N168:N173" si="151">M168-F168</f>
        <v>-76.659299999999803</v>
      </c>
      <c r="O168" s="106">
        <v>1669.1</v>
      </c>
      <c r="P168" s="141">
        <v>1282.7</v>
      </c>
      <c r="Q168" s="141">
        <v>386.4</v>
      </c>
      <c r="R168" s="141"/>
      <c r="S168" s="107">
        <f t="shared" ref="S168:S173" si="152">O168+R168</f>
        <v>1669.1</v>
      </c>
      <c r="T168" s="141"/>
      <c r="U168" s="141"/>
      <c r="V168" s="142">
        <f t="shared" ref="V168:V173" si="153">T168+U168</f>
        <v>0</v>
      </c>
      <c r="W168" s="110">
        <v>4</v>
      </c>
      <c r="X168" s="66"/>
      <c r="Y168" s="66">
        <v>3.75</v>
      </c>
      <c r="Z168" s="66"/>
      <c r="AA168" s="66"/>
      <c r="AB168" s="111">
        <f t="shared" ref="AB168:AB173" si="154">(Y168+AA168)-W168</f>
        <v>-0.25</v>
      </c>
      <c r="AC168" s="143">
        <f t="shared" si="137"/>
        <v>3.75</v>
      </c>
      <c r="AD168" s="112">
        <v>-0.2</v>
      </c>
    </row>
    <row r="169" spans="1:30" ht="15.75" x14ac:dyDescent="0.25">
      <c r="A169" s="126"/>
      <c r="B169" s="144"/>
      <c r="C169" s="166" t="s">
        <v>169</v>
      </c>
      <c r="D169" s="74">
        <v>0.59299999999999997</v>
      </c>
      <c r="E169" s="75">
        <v>3717.4</v>
      </c>
      <c r="F169" s="75">
        <f t="shared" si="117"/>
        <v>2204.4182000000001</v>
      </c>
      <c r="G169" s="148">
        <v>1886</v>
      </c>
      <c r="H169" s="115"/>
      <c r="I169" s="115"/>
      <c r="J169" s="78"/>
      <c r="K169" s="78"/>
      <c r="L169" s="78">
        <v>49.4</v>
      </c>
      <c r="M169" s="78">
        <f t="shared" si="150"/>
        <v>1935.4</v>
      </c>
      <c r="N169" s="78">
        <f t="shared" si="151"/>
        <v>-269.01819999999998</v>
      </c>
      <c r="O169" s="78">
        <v>919.4</v>
      </c>
      <c r="P169" s="115">
        <v>705.5</v>
      </c>
      <c r="Q169" s="115">
        <v>213.9</v>
      </c>
      <c r="R169" s="115"/>
      <c r="S169" s="79">
        <f t="shared" si="152"/>
        <v>919.4</v>
      </c>
      <c r="T169" s="115"/>
      <c r="U169" s="115"/>
      <c r="V169" s="147">
        <f t="shared" si="153"/>
        <v>0</v>
      </c>
      <c r="W169" s="116">
        <v>5</v>
      </c>
      <c r="X169" s="83"/>
      <c r="Y169" s="83">
        <v>3</v>
      </c>
      <c r="Z169" s="83"/>
      <c r="AA169" s="83"/>
      <c r="AB169" s="84">
        <f t="shared" si="154"/>
        <v>-2</v>
      </c>
      <c r="AC169" s="122">
        <f t="shared" si="137"/>
        <v>3</v>
      </c>
      <c r="AD169" s="85">
        <f t="shared" si="138"/>
        <v>-2</v>
      </c>
    </row>
    <row r="170" spans="1:30" ht="15" customHeight="1" x14ac:dyDescent="0.25">
      <c r="A170" s="126"/>
      <c r="B170" s="144"/>
      <c r="C170" s="166" t="s">
        <v>170</v>
      </c>
      <c r="D170" s="74">
        <v>0.88800000000000001</v>
      </c>
      <c r="E170" s="75">
        <v>2685.4</v>
      </c>
      <c r="F170" s="75">
        <f t="shared" si="117"/>
        <v>2384.6352000000002</v>
      </c>
      <c r="G170" s="148">
        <v>2112.5</v>
      </c>
      <c r="H170" s="115"/>
      <c r="I170" s="115"/>
      <c r="J170" s="78"/>
      <c r="K170" s="78"/>
      <c r="L170" s="78">
        <v>49.4</v>
      </c>
      <c r="M170" s="78">
        <f t="shared" si="150"/>
        <v>2161.9</v>
      </c>
      <c r="N170" s="78">
        <f t="shared" si="151"/>
        <v>-222.73520000000008</v>
      </c>
      <c r="O170" s="78">
        <v>979.9</v>
      </c>
      <c r="P170" s="115">
        <v>756.2</v>
      </c>
      <c r="Q170" s="115">
        <v>223.7</v>
      </c>
      <c r="R170" s="115"/>
      <c r="S170" s="79">
        <f t="shared" si="152"/>
        <v>979.9</v>
      </c>
      <c r="T170" s="115"/>
      <c r="U170" s="115"/>
      <c r="V170" s="147">
        <f t="shared" si="153"/>
        <v>0</v>
      </c>
      <c r="W170" s="82">
        <v>5</v>
      </c>
      <c r="X170" s="83"/>
      <c r="Y170" s="83">
        <v>3</v>
      </c>
      <c r="Z170" s="83"/>
      <c r="AA170" s="83"/>
      <c r="AB170" s="84">
        <f t="shared" si="154"/>
        <v>-2</v>
      </c>
      <c r="AC170" s="122">
        <f t="shared" si="137"/>
        <v>3</v>
      </c>
      <c r="AD170" s="85">
        <f t="shared" si="138"/>
        <v>-2</v>
      </c>
    </row>
    <row r="171" spans="1:30" ht="15.75" x14ac:dyDescent="0.25">
      <c r="A171" s="126"/>
      <c r="B171" s="144"/>
      <c r="C171" s="115" t="s">
        <v>171</v>
      </c>
      <c r="D171" s="74">
        <v>5.9219999999999997</v>
      </c>
      <c r="E171" s="75">
        <v>1056.5</v>
      </c>
      <c r="F171" s="75">
        <f t="shared" si="117"/>
        <v>6256.5929999999998</v>
      </c>
      <c r="G171" s="148">
        <v>5945.6</v>
      </c>
      <c r="H171" s="115"/>
      <c r="I171" s="115"/>
      <c r="J171" s="78"/>
      <c r="K171" s="78"/>
      <c r="L171" s="78">
        <v>310.89999999999998</v>
      </c>
      <c r="M171" s="78">
        <f t="shared" si="150"/>
        <v>6256.5</v>
      </c>
      <c r="N171" s="78">
        <f t="shared" si="151"/>
        <v>-9.2999999999847205E-2</v>
      </c>
      <c r="O171" s="78">
        <v>2143.4</v>
      </c>
      <c r="P171" s="115">
        <v>1698.5</v>
      </c>
      <c r="Q171" s="115">
        <v>444.9</v>
      </c>
      <c r="R171" s="115"/>
      <c r="S171" s="79">
        <f t="shared" si="152"/>
        <v>2143.4</v>
      </c>
      <c r="T171" s="115"/>
      <c r="U171" s="115"/>
      <c r="V171" s="147">
        <f t="shared" si="153"/>
        <v>0</v>
      </c>
      <c r="W171" s="82">
        <v>5</v>
      </c>
      <c r="X171" s="83"/>
      <c r="Y171" s="83">
        <v>4</v>
      </c>
      <c r="Z171" s="83"/>
      <c r="AA171" s="83">
        <v>0.5</v>
      </c>
      <c r="AB171" s="84">
        <f t="shared" si="154"/>
        <v>-0.5</v>
      </c>
      <c r="AC171" s="122">
        <f t="shared" si="137"/>
        <v>4.5</v>
      </c>
      <c r="AD171" s="85">
        <f t="shared" si="138"/>
        <v>-0.5</v>
      </c>
    </row>
    <row r="172" spans="1:30" ht="15.75" x14ac:dyDescent="0.25">
      <c r="A172" s="126"/>
      <c r="B172" s="144"/>
      <c r="C172" s="115" t="s">
        <v>172</v>
      </c>
      <c r="D172" s="74">
        <v>1.258</v>
      </c>
      <c r="E172" s="75">
        <v>2531.6999999999998</v>
      </c>
      <c r="F172" s="75">
        <f t="shared" si="117"/>
        <v>3184.8786</v>
      </c>
      <c r="G172" s="148">
        <v>3125.71</v>
      </c>
      <c r="H172" s="115"/>
      <c r="I172" s="115"/>
      <c r="J172" s="78"/>
      <c r="K172" s="78"/>
      <c r="L172" s="78">
        <v>49.4</v>
      </c>
      <c r="M172" s="78">
        <f t="shared" si="150"/>
        <v>3175.11</v>
      </c>
      <c r="N172" s="78">
        <f t="shared" si="151"/>
        <v>-9.7685999999998785</v>
      </c>
      <c r="O172" s="78">
        <v>1329.1</v>
      </c>
      <c r="P172" s="115">
        <v>1024</v>
      </c>
      <c r="Q172" s="115">
        <v>305.10000000000002</v>
      </c>
      <c r="R172" s="115"/>
      <c r="S172" s="79">
        <f t="shared" si="152"/>
        <v>1329.1</v>
      </c>
      <c r="T172" s="115"/>
      <c r="U172" s="115"/>
      <c r="V172" s="147">
        <f t="shared" si="153"/>
        <v>0</v>
      </c>
      <c r="W172" s="82">
        <v>4</v>
      </c>
      <c r="X172" s="83"/>
      <c r="Y172" s="83">
        <v>4</v>
      </c>
      <c r="Z172" s="83"/>
      <c r="AA172" s="83"/>
      <c r="AB172" s="84">
        <f t="shared" si="154"/>
        <v>0</v>
      </c>
      <c r="AC172" s="122">
        <f t="shared" si="137"/>
        <v>4</v>
      </c>
      <c r="AD172" s="85">
        <f t="shared" si="138"/>
        <v>0</v>
      </c>
    </row>
    <row r="173" spans="1:30" ht="15.75" x14ac:dyDescent="0.25">
      <c r="A173" s="126"/>
      <c r="B173" s="144"/>
      <c r="C173" s="196" t="s">
        <v>173</v>
      </c>
      <c r="D173" s="74">
        <v>0.69399999999999995</v>
      </c>
      <c r="E173" s="75">
        <v>3411.5</v>
      </c>
      <c r="F173" s="75">
        <f t="shared" si="117"/>
        <v>2367.5809999999997</v>
      </c>
      <c r="G173" s="148">
        <v>2318.1999999999998</v>
      </c>
      <c r="H173" s="115"/>
      <c r="I173" s="115"/>
      <c r="J173" s="78"/>
      <c r="K173" s="78"/>
      <c r="L173" s="78">
        <v>49.4</v>
      </c>
      <c r="M173" s="78">
        <f t="shared" si="150"/>
        <v>2367.6</v>
      </c>
      <c r="N173" s="78">
        <f t="shared" si="151"/>
        <v>1.9000000000232831E-2</v>
      </c>
      <c r="O173" s="78">
        <v>804.6</v>
      </c>
      <c r="P173" s="115">
        <v>620.70000000000005</v>
      </c>
      <c r="Q173" s="115">
        <v>183.9</v>
      </c>
      <c r="R173" s="115"/>
      <c r="S173" s="79">
        <f t="shared" si="152"/>
        <v>804.6</v>
      </c>
      <c r="T173" s="115"/>
      <c r="U173" s="115"/>
      <c r="V173" s="147">
        <f t="shared" si="153"/>
        <v>0</v>
      </c>
      <c r="W173" s="82">
        <v>3</v>
      </c>
      <c r="X173" s="83"/>
      <c r="Y173" s="83">
        <v>2</v>
      </c>
      <c r="Z173" s="83"/>
      <c r="AA173" s="83"/>
      <c r="AB173" s="84">
        <f t="shared" si="154"/>
        <v>-1</v>
      </c>
      <c r="AC173" s="122">
        <f t="shared" si="137"/>
        <v>2</v>
      </c>
      <c r="AD173" s="85">
        <f t="shared" si="138"/>
        <v>-1</v>
      </c>
    </row>
    <row r="174" spans="1:30" ht="16.5" thickBot="1" x14ac:dyDescent="0.3">
      <c r="A174" s="126"/>
      <c r="B174" s="149"/>
      <c r="C174" s="99" t="s">
        <v>65</v>
      </c>
      <c r="D174" s="150"/>
      <c r="E174" s="92"/>
      <c r="F174" s="92"/>
      <c r="G174" s="151">
        <f t="shared" ref="G174:M174" si="155">ROUND(SUM(G168:G173),3)</f>
        <v>18377.41</v>
      </c>
      <c r="H174" s="151">
        <f t="shared" si="155"/>
        <v>0</v>
      </c>
      <c r="I174" s="151">
        <f t="shared" si="155"/>
        <v>0</v>
      </c>
      <c r="J174" s="151">
        <f t="shared" si="155"/>
        <v>0</v>
      </c>
      <c r="K174" s="151">
        <f t="shared" si="155"/>
        <v>0</v>
      </c>
      <c r="L174" s="151">
        <f t="shared" si="155"/>
        <v>512.1</v>
      </c>
      <c r="M174" s="151">
        <f t="shared" si="155"/>
        <v>18889.509999999998</v>
      </c>
      <c r="N174" s="94"/>
      <c r="O174" s="151">
        <f t="shared" ref="O174:V174" si="156">ROUND(SUM(O168:O173),3)</f>
        <v>7845.5</v>
      </c>
      <c r="P174" s="151">
        <f t="shared" si="156"/>
        <v>6087.6</v>
      </c>
      <c r="Q174" s="151">
        <f t="shared" si="156"/>
        <v>1757.9</v>
      </c>
      <c r="R174" s="151">
        <f t="shared" si="156"/>
        <v>0</v>
      </c>
      <c r="S174" s="151">
        <f t="shared" si="156"/>
        <v>7845.5</v>
      </c>
      <c r="T174" s="151">
        <f t="shared" si="156"/>
        <v>0</v>
      </c>
      <c r="U174" s="151">
        <f t="shared" si="156"/>
        <v>0</v>
      </c>
      <c r="V174" s="152">
        <f t="shared" si="156"/>
        <v>0</v>
      </c>
      <c r="W174" s="153"/>
      <c r="X174" s="151">
        <f>ROUND(SUM(X168:X173),3)</f>
        <v>0</v>
      </c>
      <c r="Y174" s="157">
        <f>ROUND(SUM(Y168:Y173),3)</f>
        <v>19.75</v>
      </c>
      <c r="Z174" s="151">
        <f>ROUND(SUM(Z168:Z173),3)</f>
        <v>0</v>
      </c>
      <c r="AA174" s="151">
        <f>ROUND(SUM(AA168:AA173),3)</f>
        <v>0.5</v>
      </c>
      <c r="AB174" s="99"/>
      <c r="AC174" s="154">
        <f t="shared" si="137"/>
        <v>20.25</v>
      </c>
      <c r="AD174" s="101"/>
    </row>
    <row r="175" spans="1:30" ht="15.75" x14ac:dyDescent="0.25">
      <c r="A175" s="126"/>
      <c r="B175" s="139" t="s">
        <v>57</v>
      </c>
      <c r="C175" s="191" t="s">
        <v>174</v>
      </c>
      <c r="D175" s="103">
        <v>7.5940000000000003</v>
      </c>
      <c r="E175" s="104">
        <v>130.30000000000001</v>
      </c>
      <c r="F175" s="104">
        <f t="shared" si="117"/>
        <v>989.49820000000011</v>
      </c>
      <c r="G175" s="140">
        <v>293.2</v>
      </c>
      <c r="H175" s="141"/>
      <c r="I175" s="141"/>
      <c r="J175" s="106"/>
      <c r="K175" s="106"/>
      <c r="L175" s="106">
        <v>191.2</v>
      </c>
      <c r="M175" s="106">
        <f>G175+L175</f>
        <v>484.4</v>
      </c>
      <c r="N175" s="106">
        <f>M175-F175</f>
        <v>-505.09820000000013</v>
      </c>
      <c r="O175" s="106"/>
      <c r="P175" s="141"/>
      <c r="Q175" s="141"/>
      <c r="R175" s="141"/>
      <c r="S175" s="105"/>
      <c r="T175" s="141"/>
      <c r="U175" s="141"/>
      <c r="V175" s="142">
        <f>T175+U175</f>
        <v>0</v>
      </c>
      <c r="W175" s="110">
        <v>1</v>
      </c>
      <c r="X175" s="66"/>
      <c r="Y175" s="66">
        <v>0</v>
      </c>
      <c r="Z175" s="66"/>
      <c r="AA175" s="66">
        <v>0</v>
      </c>
      <c r="AB175" s="111">
        <f t="shared" ref="AB175:AB178" si="157">(Y175+AA175)-W175</f>
        <v>-1</v>
      </c>
      <c r="AC175" s="143">
        <f t="shared" si="137"/>
        <v>0</v>
      </c>
      <c r="AD175" s="112">
        <f t="shared" si="138"/>
        <v>-1</v>
      </c>
    </row>
    <row r="176" spans="1:30" ht="15.75" x14ac:dyDescent="0.25">
      <c r="A176" s="126"/>
      <c r="B176" s="144"/>
      <c r="C176" s="192" t="s">
        <v>175</v>
      </c>
      <c r="D176" s="74">
        <v>1.667</v>
      </c>
      <c r="E176" s="75">
        <v>2338.8000000000002</v>
      </c>
      <c r="F176" s="75">
        <f t="shared" si="117"/>
        <v>3898.7796000000003</v>
      </c>
      <c r="G176" s="148">
        <v>4079.4</v>
      </c>
      <c r="H176" s="115"/>
      <c r="I176" s="115"/>
      <c r="J176" s="78"/>
      <c r="K176" s="78"/>
      <c r="L176" s="78">
        <f>101.4-282</f>
        <v>-180.6</v>
      </c>
      <c r="M176" s="78">
        <f>G176+L176</f>
        <v>3898.8</v>
      </c>
      <c r="N176" s="78">
        <f>M176-F176</f>
        <v>2.0399999999881402E-2</v>
      </c>
      <c r="O176" s="78">
        <v>1850.3</v>
      </c>
      <c r="P176" s="115">
        <v>1425.8</v>
      </c>
      <c r="Q176" s="115">
        <v>424.5</v>
      </c>
      <c r="R176" s="115"/>
      <c r="S176" s="79">
        <f t="shared" ref="S176:S178" si="158">O176+R176</f>
        <v>1850.3</v>
      </c>
      <c r="T176" s="115"/>
      <c r="U176" s="115"/>
      <c r="V176" s="147">
        <f>T176+U176</f>
        <v>0</v>
      </c>
      <c r="W176" s="82">
        <v>5</v>
      </c>
      <c r="X176" s="83"/>
      <c r="Y176" s="83">
        <v>5</v>
      </c>
      <c r="Z176" s="83"/>
      <c r="AA176" s="83"/>
      <c r="AB176" s="84">
        <f t="shared" si="157"/>
        <v>0</v>
      </c>
      <c r="AC176" s="122">
        <f t="shared" si="137"/>
        <v>5</v>
      </c>
      <c r="AD176" s="85">
        <f t="shared" si="138"/>
        <v>0</v>
      </c>
    </row>
    <row r="177" spans="1:30" ht="15.75" x14ac:dyDescent="0.25">
      <c r="A177" s="126"/>
      <c r="B177" s="144"/>
      <c r="C177" s="166" t="s">
        <v>176</v>
      </c>
      <c r="D177" s="74">
        <v>1.0029999999999999</v>
      </c>
      <c r="E177" s="75">
        <v>3490.5</v>
      </c>
      <c r="F177" s="75">
        <f t="shared" si="117"/>
        <v>3500.9714999999997</v>
      </c>
      <c r="G177" s="148">
        <v>3694.5</v>
      </c>
      <c r="H177" s="115"/>
      <c r="I177" s="115"/>
      <c r="J177" s="78"/>
      <c r="K177" s="78"/>
      <c r="L177" s="78">
        <f>61-254.5</f>
        <v>-193.5</v>
      </c>
      <c r="M177" s="78">
        <f>G177+L177</f>
        <v>3501</v>
      </c>
      <c r="N177" s="78">
        <f>M177-F177</f>
        <v>2.8500000000349246E-2</v>
      </c>
      <c r="O177" s="78">
        <v>1706.5</v>
      </c>
      <c r="P177" s="115">
        <v>1314.9</v>
      </c>
      <c r="Q177" s="115">
        <v>391.6</v>
      </c>
      <c r="R177" s="115"/>
      <c r="S177" s="79">
        <f t="shared" si="158"/>
        <v>1706.5</v>
      </c>
      <c r="T177" s="115"/>
      <c r="U177" s="115"/>
      <c r="V177" s="147">
        <f>T177+U177</f>
        <v>0</v>
      </c>
      <c r="W177" s="82">
        <v>5</v>
      </c>
      <c r="X177" s="83"/>
      <c r="Y177" s="83">
        <v>4</v>
      </c>
      <c r="Z177" s="83"/>
      <c r="AA177" s="83"/>
      <c r="AB177" s="84">
        <f t="shared" si="157"/>
        <v>-1</v>
      </c>
      <c r="AC177" s="122">
        <f t="shared" si="137"/>
        <v>4</v>
      </c>
      <c r="AD177" s="85">
        <f t="shared" si="138"/>
        <v>-1</v>
      </c>
    </row>
    <row r="178" spans="1:30" ht="15.75" x14ac:dyDescent="0.25">
      <c r="A178" s="126">
        <v>67</v>
      </c>
      <c r="B178" s="144"/>
      <c r="C178" s="206" t="s">
        <v>177</v>
      </c>
      <c r="D178" s="74">
        <v>1.83</v>
      </c>
      <c r="E178" s="75">
        <v>2475.1999999999998</v>
      </c>
      <c r="F178" s="75">
        <f t="shared" si="117"/>
        <v>4529.616</v>
      </c>
      <c r="G178" s="148">
        <v>4359.2</v>
      </c>
      <c r="H178" s="115"/>
      <c r="I178" s="115"/>
      <c r="J178" s="78"/>
      <c r="K178" s="78"/>
      <c r="L178" s="78">
        <f>149-254.8</f>
        <v>-105.80000000000001</v>
      </c>
      <c r="M178" s="78">
        <f>G178+L178</f>
        <v>4253.3999999999996</v>
      </c>
      <c r="N178" s="78">
        <f>M178-F178</f>
        <v>-276.21600000000035</v>
      </c>
      <c r="O178" s="78">
        <v>1962.9</v>
      </c>
      <c r="P178" s="115">
        <v>1507.6</v>
      </c>
      <c r="Q178" s="115">
        <v>455.3</v>
      </c>
      <c r="R178" s="115">
        <v>-231.4</v>
      </c>
      <c r="S178" s="79">
        <f t="shared" si="158"/>
        <v>1731.5</v>
      </c>
      <c r="T178" s="115"/>
      <c r="U178" s="115"/>
      <c r="V178" s="147">
        <f>T178+U178</f>
        <v>0</v>
      </c>
      <c r="W178" s="82">
        <v>5</v>
      </c>
      <c r="X178" s="83"/>
      <c r="Y178" s="83">
        <v>5</v>
      </c>
      <c r="Z178" s="83"/>
      <c r="AA178" s="83">
        <v>-1</v>
      </c>
      <c r="AB178" s="84">
        <f t="shared" si="157"/>
        <v>-1</v>
      </c>
      <c r="AC178" s="122">
        <f t="shared" si="137"/>
        <v>4</v>
      </c>
      <c r="AD178" s="85">
        <f t="shared" si="138"/>
        <v>-1</v>
      </c>
    </row>
    <row r="179" spans="1:30" ht="16.5" thickBot="1" x14ac:dyDescent="0.3">
      <c r="A179" s="126"/>
      <c r="B179" s="149"/>
      <c r="C179" s="99" t="s">
        <v>65</v>
      </c>
      <c r="D179" s="168"/>
      <c r="E179" s="92"/>
      <c r="F179" s="92"/>
      <c r="G179" s="154">
        <f t="shared" ref="G179:L179" si="159">ROUND(SUM(G175:G178),3)</f>
        <v>12426.3</v>
      </c>
      <c r="H179" s="154">
        <f t="shared" si="159"/>
        <v>0</v>
      </c>
      <c r="I179" s="154">
        <f t="shared" si="159"/>
        <v>0</v>
      </c>
      <c r="J179" s="154">
        <f t="shared" si="159"/>
        <v>0</v>
      </c>
      <c r="K179" s="154">
        <f t="shared" si="159"/>
        <v>0</v>
      </c>
      <c r="L179" s="154">
        <f t="shared" si="159"/>
        <v>-288.7</v>
      </c>
      <c r="M179" s="154">
        <f>ROUND(SUM(M175:M178),3)</f>
        <v>12137.6</v>
      </c>
      <c r="N179" s="154"/>
      <c r="O179" s="154">
        <f t="shared" ref="O179:S179" si="160">ROUND(SUM(O175:O178),3)</f>
        <v>5519.7</v>
      </c>
      <c r="P179" s="154">
        <f t="shared" si="160"/>
        <v>4248.3</v>
      </c>
      <c r="Q179" s="154">
        <f t="shared" si="160"/>
        <v>1271.4000000000001</v>
      </c>
      <c r="R179" s="154">
        <f t="shared" si="160"/>
        <v>-231.4</v>
      </c>
      <c r="S179" s="154">
        <f t="shared" si="160"/>
        <v>5288.3</v>
      </c>
      <c r="T179" s="154">
        <f>ROUND(SUM(T175:T178),3)</f>
        <v>0</v>
      </c>
      <c r="U179" s="154">
        <f>ROUND(SUM(U175:U178),3)</f>
        <v>0</v>
      </c>
      <c r="V179" s="169">
        <f>ROUND(SUM(V175:V178),3)</f>
        <v>0</v>
      </c>
      <c r="W179" s="125"/>
      <c r="X179" s="154">
        <f t="shared" ref="X179:AB179" si="161">ROUND(SUM(X175:X178),3)</f>
        <v>0</v>
      </c>
      <c r="Y179" s="154">
        <f t="shared" si="161"/>
        <v>14</v>
      </c>
      <c r="Z179" s="154">
        <f t="shared" si="161"/>
        <v>0</v>
      </c>
      <c r="AA179" s="154">
        <f t="shared" si="161"/>
        <v>-1</v>
      </c>
      <c r="AB179" s="154">
        <f t="shared" si="161"/>
        <v>-3</v>
      </c>
      <c r="AC179" s="154">
        <f t="shared" si="137"/>
        <v>13</v>
      </c>
      <c r="AD179" s="101"/>
    </row>
    <row r="180" spans="1:30" s="212" customFormat="1" ht="15.75" x14ac:dyDescent="0.25">
      <c r="A180" s="126">
        <v>3</v>
      </c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9"/>
      <c r="W180" s="210"/>
      <c r="X180" s="208"/>
      <c r="Y180" s="208"/>
      <c r="Z180" s="208"/>
      <c r="AA180" s="208"/>
      <c r="AB180" s="208"/>
      <c r="AC180" s="211"/>
      <c r="AD180" s="208"/>
    </row>
    <row r="181" spans="1:30" s="212" customFormat="1" ht="15.75" x14ac:dyDescent="0.25">
      <c r="A181" s="126"/>
      <c r="B181" s="208"/>
      <c r="C181" s="213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9"/>
      <c r="W181" s="210"/>
      <c r="X181" s="208"/>
      <c r="Y181" s="208"/>
      <c r="Z181" s="208"/>
      <c r="AA181" s="208"/>
      <c r="AB181" s="208"/>
      <c r="AC181" s="211"/>
      <c r="AD181" s="208"/>
    </row>
    <row r="182" spans="1:30" s="212" customFormat="1" ht="15.75" x14ac:dyDescent="0.25">
      <c r="A182" s="126"/>
      <c r="B182" s="208"/>
      <c r="C182" s="213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9"/>
      <c r="W182" s="210"/>
      <c r="X182" s="208"/>
      <c r="Y182" s="208"/>
      <c r="Z182" s="208"/>
      <c r="AA182" s="208"/>
      <c r="AB182" s="208"/>
      <c r="AC182" s="211"/>
      <c r="AD182" s="208"/>
    </row>
    <row r="183" spans="1:30" s="212" customFormat="1" ht="15.75" x14ac:dyDescent="0.25">
      <c r="A183" s="126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9"/>
      <c r="W183" s="210"/>
      <c r="X183" s="208"/>
      <c r="Y183" s="208"/>
      <c r="Z183" s="208"/>
      <c r="AA183" s="208"/>
      <c r="AB183" s="208"/>
      <c r="AC183" s="211"/>
      <c r="AD183" s="208"/>
    </row>
    <row r="184" spans="1:30" s="212" customFormat="1" ht="15.75" x14ac:dyDescent="0.25">
      <c r="A184" s="126"/>
      <c r="B184" s="208"/>
      <c r="C184" s="214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9"/>
      <c r="W184" s="210"/>
      <c r="X184" s="208"/>
      <c r="Y184" s="208"/>
      <c r="Z184" s="208"/>
      <c r="AA184" s="208"/>
      <c r="AB184" s="208"/>
      <c r="AC184" s="211"/>
      <c r="AD184" s="208"/>
    </row>
    <row r="185" spans="1:30" s="212" customFormat="1" ht="15.75" x14ac:dyDescent="0.25">
      <c r="A185" s="126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9"/>
      <c r="W185" s="210"/>
      <c r="X185" s="208"/>
      <c r="Y185" s="208"/>
      <c r="Z185" s="208"/>
      <c r="AA185" s="208"/>
      <c r="AB185" s="208"/>
      <c r="AC185" s="211"/>
      <c r="AD185" s="208"/>
    </row>
    <row r="186" spans="1:30" s="212" customFormat="1" ht="15.75" x14ac:dyDescent="0.25">
      <c r="A186" s="126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9"/>
      <c r="W186" s="210"/>
      <c r="X186" s="208"/>
      <c r="Y186" s="208"/>
      <c r="Z186" s="208"/>
      <c r="AA186" s="208"/>
      <c r="AB186" s="208"/>
      <c r="AC186" s="211"/>
      <c r="AD186" s="208"/>
    </row>
    <row r="187" spans="1:30" s="212" customFormat="1" ht="15.75" x14ac:dyDescent="0.25">
      <c r="A187" s="126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9"/>
      <c r="W187" s="210"/>
      <c r="X187" s="208"/>
      <c r="Y187" s="208"/>
      <c r="Z187" s="208"/>
      <c r="AA187" s="208"/>
      <c r="AB187" s="208"/>
      <c r="AC187" s="211"/>
      <c r="AD187" s="208"/>
    </row>
    <row r="188" spans="1:30" s="212" customFormat="1" ht="15.75" x14ac:dyDescent="0.25">
      <c r="A188" s="126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9"/>
      <c r="W188" s="210"/>
      <c r="X188" s="208"/>
      <c r="Y188" s="208"/>
      <c r="Z188" s="208"/>
      <c r="AA188" s="208"/>
      <c r="AB188" s="208"/>
      <c r="AC188" s="211"/>
      <c r="AD188" s="208"/>
    </row>
    <row r="189" spans="1:30" s="212" customFormat="1" ht="15.75" x14ac:dyDescent="0.25">
      <c r="A189" s="126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9"/>
      <c r="W189" s="210"/>
      <c r="X189" s="208"/>
      <c r="Y189" s="208"/>
      <c r="Z189" s="208"/>
      <c r="AA189" s="208"/>
      <c r="AB189" s="208"/>
      <c r="AC189" s="211"/>
      <c r="AD189" s="208"/>
    </row>
    <row r="190" spans="1:30" s="212" customFormat="1" ht="15.75" x14ac:dyDescent="0.25">
      <c r="A190" s="126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9"/>
      <c r="W190" s="210"/>
      <c r="X190" s="208"/>
      <c r="Y190" s="208"/>
      <c r="Z190" s="208"/>
      <c r="AA190" s="208"/>
      <c r="AB190" s="208"/>
      <c r="AC190" s="211"/>
      <c r="AD190" s="208"/>
    </row>
    <row r="191" spans="1:30" s="212" customFormat="1" ht="15.75" x14ac:dyDescent="0.25">
      <c r="A191" s="126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9"/>
      <c r="W191" s="210"/>
      <c r="X191" s="208"/>
      <c r="Y191" s="208"/>
      <c r="Z191" s="208"/>
      <c r="AA191" s="208"/>
      <c r="AB191" s="208"/>
      <c r="AC191" s="211"/>
      <c r="AD191" s="208"/>
    </row>
    <row r="192" spans="1:30" s="212" customFormat="1" ht="15.75" x14ac:dyDescent="0.25">
      <c r="A192" s="126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9"/>
      <c r="W192" s="210"/>
      <c r="X192" s="208"/>
      <c r="Y192" s="208"/>
      <c r="Z192" s="208"/>
      <c r="AA192" s="208"/>
      <c r="AB192" s="208"/>
      <c r="AC192" s="211"/>
      <c r="AD192" s="208"/>
    </row>
    <row r="193" spans="1:30" s="212" customFormat="1" ht="15.75" x14ac:dyDescent="0.25">
      <c r="A193" s="126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9"/>
      <c r="W193" s="210"/>
      <c r="X193" s="208"/>
      <c r="Y193" s="208"/>
      <c r="Z193" s="208"/>
      <c r="AA193" s="208"/>
      <c r="AB193" s="208"/>
      <c r="AC193" s="211"/>
      <c r="AD193" s="208"/>
    </row>
    <row r="194" spans="1:30" s="212" customFormat="1" ht="15.75" x14ac:dyDescent="0.25">
      <c r="A194" s="126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9"/>
      <c r="W194" s="210"/>
      <c r="X194" s="208"/>
      <c r="Y194" s="208"/>
      <c r="Z194" s="208"/>
      <c r="AA194" s="208"/>
      <c r="AB194" s="208"/>
      <c r="AC194" s="211"/>
      <c r="AD194" s="208"/>
    </row>
    <row r="195" spans="1:30" s="212" customFormat="1" ht="15.75" x14ac:dyDescent="0.25">
      <c r="A195" s="126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9"/>
      <c r="W195" s="210"/>
      <c r="X195" s="208"/>
      <c r="Y195" s="208"/>
      <c r="Z195" s="208"/>
      <c r="AA195" s="208"/>
      <c r="AB195" s="208"/>
      <c r="AC195" s="211"/>
      <c r="AD195" s="208"/>
    </row>
    <row r="196" spans="1:30" s="212" customFormat="1" ht="15.75" x14ac:dyDescent="0.25">
      <c r="A196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9"/>
      <c r="W196" s="210"/>
      <c r="X196" s="208"/>
      <c r="Y196" s="208"/>
      <c r="Z196" s="208"/>
      <c r="AA196" s="208"/>
      <c r="AB196" s="208"/>
      <c r="AC196" s="211"/>
      <c r="AD196" s="208"/>
    </row>
    <row r="197" spans="1:30" s="212" customFormat="1" ht="15.75" x14ac:dyDescent="0.25">
      <c r="A197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9"/>
      <c r="W197" s="210"/>
      <c r="X197" s="208"/>
      <c r="Y197" s="208"/>
      <c r="Z197" s="208"/>
      <c r="AA197" s="208"/>
      <c r="AB197" s="208"/>
      <c r="AC197" s="211"/>
      <c r="AD197" s="208"/>
    </row>
    <row r="198" spans="1:30" s="212" customFormat="1" x14ac:dyDescent="0.2">
      <c r="A198"/>
      <c r="B198" s="215"/>
      <c r="H198" s="216"/>
      <c r="I198" s="216"/>
      <c r="J198" s="216"/>
      <c r="K198" s="216"/>
      <c r="L198" s="216"/>
      <c r="M198" s="216"/>
      <c r="N198" s="216"/>
      <c r="V198" s="217"/>
      <c r="W198" s="218"/>
      <c r="AC198" s="219"/>
    </row>
    <row r="199" spans="1:30" s="212" customFormat="1" x14ac:dyDescent="0.2">
      <c r="A199"/>
      <c r="B199" s="215"/>
      <c r="H199" s="216"/>
      <c r="I199" s="216"/>
      <c r="J199" s="216"/>
      <c r="K199" s="216"/>
      <c r="L199" s="216"/>
      <c r="M199" s="216"/>
      <c r="N199" s="216"/>
      <c r="V199" s="217"/>
      <c r="W199" s="218"/>
      <c r="AC199" s="219"/>
    </row>
    <row r="200" spans="1:30" s="212" customFormat="1" x14ac:dyDescent="0.2">
      <c r="A200"/>
      <c r="B200" s="215"/>
      <c r="H200" s="216"/>
      <c r="I200" s="216"/>
      <c r="J200" s="216"/>
      <c r="K200" s="216"/>
      <c r="L200" s="216"/>
      <c r="M200" s="216"/>
      <c r="N200" s="216"/>
      <c r="V200" s="217"/>
      <c r="W200" s="218"/>
      <c r="AC200" s="219"/>
    </row>
    <row r="201" spans="1:30" s="212" customFormat="1" x14ac:dyDescent="0.2">
      <c r="A201"/>
      <c r="B201" s="215"/>
      <c r="H201" s="216"/>
      <c r="I201" s="216"/>
      <c r="J201" s="216"/>
      <c r="K201" s="216"/>
      <c r="L201" s="216"/>
      <c r="M201" s="216"/>
      <c r="N201" s="216"/>
      <c r="V201" s="217"/>
      <c r="W201" s="218"/>
      <c r="AC201" s="219"/>
    </row>
    <row r="202" spans="1:30" s="212" customFormat="1" x14ac:dyDescent="0.2">
      <c r="A202"/>
      <c r="B202" s="215"/>
      <c r="H202" s="216"/>
      <c r="I202" s="216"/>
      <c r="J202" s="216"/>
      <c r="K202" s="216"/>
      <c r="L202" s="216"/>
      <c r="M202" s="216"/>
      <c r="N202" s="216"/>
      <c r="V202" s="217"/>
      <c r="W202" s="218"/>
      <c r="AC202" s="219"/>
    </row>
    <row r="203" spans="1:30" s="212" customFormat="1" x14ac:dyDescent="0.2">
      <c r="A203"/>
      <c r="B203" s="215"/>
      <c r="H203" s="216"/>
      <c r="I203" s="216"/>
      <c r="J203" s="216"/>
      <c r="K203" s="216"/>
      <c r="L203" s="216"/>
      <c r="M203" s="216"/>
      <c r="N203" s="216"/>
      <c r="V203" s="217"/>
      <c r="W203" s="218"/>
      <c r="AC203" s="219"/>
    </row>
    <row r="204" spans="1:30" s="212" customFormat="1" x14ac:dyDescent="0.2">
      <c r="A204"/>
      <c r="B204" s="215"/>
      <c r="H204" s="216"/>
      <c r="I204" s="216"/>
      <c r="J204" s="216"/>
      <c r="K204" s="216"/>
      <c r="L204" s="216"/>
      <c r="M204" s="216"/>
      <c r="N204" s="216"/>
      <c r="V204" s="217"/>
      <c r="W204" s="218"/>
      <c r="AC204" s="219"/>
    </row>
    <row r="205" spans="1:30" s="212" customFormat="1" x14ac:dyDescent="0.2">
      <c r="A205"/>
      <c r="B205" s="215"/>
      <c r="H205" s="216"/>
      <c r="I205" s="216"/>
      <c r="J205" s="216"/>
      <c r="K205" s="216"/>
      <c r="L205" s="216"/>
      <c r="M205" s="216"/>
      <c r="N205" s="216"/>
      <c r="V205" s="217"/>
      <c r="W205" s="218"/>
      <c r="AC205" s="219"/>
    </row>
    <row r="206" spans="1:30" s="212" customFormat="1" x14ac:dyDescent="0.2">
      <c r="A206"/>
      <c r="B206" s="215"/>
      <c r="H206" s="216"/>
      <c r="I206" s="216"/>
      <c r="J206" s="216"/>
      <c r="K206" s="216"/>
      <c r="L206" s="216"/>
      <c r="M206" s="216"/>
      <c r="N206" s="216"/>
      <c r="V206" s="217"/>
      <c r="W206" s="218"/>
    </row>
    <row r="207" spans="1:30" s="212" customFormat="1" x14ac:dyDescent="0.2">
      <c r="A207"/>
      <c r="B207" s="215"/>
      <c r="H207" s="216"/>
      <c r="I207" s="216"/>
      <c r="J207" s="216"/>
      <c r="K207" s="216"/>
      <c r="L207" s="216"/>
      <c r="M207" s="216"/>
      <c r="N207" s="216"/>
      <c r="V207" s="217"/>
      <c r="W207" s="218"/>
    </row>
    <row r="208" spans="1:30" s="212" customFormat="1" x14ac:dyDescent="0.2">
      <c r="A208"/>
      <c r="B208" s="215"/>
      <c r="H208" s="216"/>
      <c r="I208" s="216"/>
      <c r="J208" s="216"/>
      <c r="K208" s="216"/>
      <c r="L208" s="216"/>
      <c r="M208" s="216"/>
      <c r="N208" s="216"/>
      <c r="V208" s="217"/>
      <c r="W208" s="218"/>
    </row>
    <row r="209" spans="1:23" s="212" customFormat="1" x14ac:dyDescent="0.2">
      <c r="A209"/>
      <c r="B209" s="215"/>
      <c r="H209" s="216"/>
      <c r="I209" s="216"/>
      <c r="J209" s="216"/>
      <c r="K209" s="216"/>
      <c r="L209" s="216"/>
      <c r="M209" s="216"/>
      <c r="N209" s="216"/>
      <c r="V209" s="217"/>
      <c r="W209" s="218"/>
    </row>
    <row r="210" spans="1:23" s="212" customFormat="1" x14ac:dyDescent="0.2">
      <c r="A210"/>
      <c r="B210" s="215"/>
      <c r="H210" s="216"/>
      <c r="I210" s="216"/>
      <c r="J210" s="216"/>
      <c r="K210" s="216"/>
      <c r="L210" s="216"/>
      <c r="M210" s="216"/>
      <c r="N210" s="216"/>
      <c r="V210" s="217"/>
      <c r="W210" s="218"/>
    </row>
    <row r="211" spans="1:23" s="212" customFormat="1" x14ac:dyDescent="0.2">
      <c r="A211"/>
      <c r="B211" s="215"/>
      <c r="H211" s="216"/>
      <c r="I211" s="216"/>
      <c r="J211" s="216"/>
      <c r="K211" s="216"/>
      <c r="L211" s="216"/>
      <c r="M211" s="216"/>
      <c r="N211" s="216"/>
      <c r="V211" s="217"/>
      <c r="W211" s="218"/>
    </row>
    <row r="212" spans="1:23" s="212" customFormat="1" x14ac:dyDescent="0.2">
      <c r="A212"/>
      <c r="B212" s="215"/>
      <c r="H212" s="216"/>
      <c r="I212" s="216"/>
      <c r="J212" s="216"/>
      <c r="K212" s="216"/>
      <c r="L212" s="216"/>
      <c r="M212" s="216"/>
      <c r="N212" s="216"/>
      <c r="V212" s="217"/>
      <c r="W212" s="218"/>
    </row>
    <row r="213" spans="1:23" s="212" customFormat="1" x14ac:dyDescent="0.2">
      <c r="A213"/>
      <c r="B213" s="215"/>
      <c r="H213" s="216"/>
      <c r="I213" s="216"/>
      <c r="J213" s="216"/>
      <c r="K213" s="216"/>
      <c r="L213" s="216"/>
      <c r="M213" s="216"/>
      <c r="N213" s="216"/>
      <c r="V213" s="217"/>
      <c r="W213" s="218"/>
    </row>
    <row r="214" spans="1:23" s="212" customFormat="1" x14ac:dyDescent="0.2">
      <c r="A214"/>
      <c r="B214" s="215"/>
      <c r="H214" s="216"/>
      <c r="I214" s="216"/>
      <c r="J214" s="216"/>
      <c r="K214" s="216"/>
      <c r="L214" s="216"/>
      <c r="M214" s="216"/>
      <c r="N214" s="216"/>
      <c r="V214" s="217"/>
      <c r="W214" s="218"/>
    </row>
    <row r="215" spans="1:23" s="212" customFormat="1" x14ac:dyDescent="0.2">
      <c r="A215"/>
      <c r="B215" s="215"/>
      <c r="H215" s="216"/>
      <c r="I215" s="216"/>
      <c r="J215" s="216"/>
      <c r="K215" s="216"/>
      <c r="L215" s="216"/>
      <c r="M215" s="216"/>
      <c r="N215" s="216"/>
      <c r="V215" s="217"/>
      <c r="W215" s="218"/>
    </row>
    <row r="216" spans="1:23" s="212" customFormat="1" x14ac:dyDescent="0.2">
      <c r="A216"/>
      <c r="B216" s="215"/>
      <c r="H216" s="216"/>
      <c r="I216" s="216"/>
      <c r="J216" s="216"/>
      <c r="K216" s="216"/>
      <c r="L216" s="216"/>
      <c r="M216" s="216"/>
      <c r="N216" s="216"/>
      <c r="V216" s="217"/>
      <c r="W216" s="218"/>
    </row>
    <row r="217" spans="1:23" s="212" customFormat="1" x14ac:dyDescent="0.2">
      <c r="A217"/>
      <c r="B217" s="215"/>
      <c r="H217" s="216"/>
      <c r="I217" s="216"/>
      <c r="J217" s="216"/>
      <c r="K217" s="216"/>
      <c r="L217" s="216"/>
      <c r="M217" s="216"/>
      <c r="N217" s="216"/>
      <c r="V217" s="217"/>
      <c r="W217" s="218"/>
    </row>
    <row r="218" spans="1:23" s="212" customFormat="1" x14ac:dyDescent="0.2">
      <c r="A218"/>
      <c r="B218" s="215"/>
      <c r="H218" s="216"/>
      <c r="I218" s="216"/>
      <c r="J218" s="216"/>
      <c r="K218" s="216"/>
      <c r="L218" s="216"/>
      <c r="M218" s="216"/>
      <c r="N218" s="216"/>
      <c r="V218" s="217"/>
      <c r="W218" s="218"/>
    </row>
    <row r="219" spans="1:23" s="212" customFormat="1" x14ac:dyDescent="0.2">
      <c r="A219"/>
      <c r="B219" s="215"/>
      <c r="H219" s="216"/>
      <c r="I219" s="216"/>
      <c r="J219" s="216"/>
      <c r="K219" s="216"/>
      <c r="L219" s="216"/>
      <c r="M219" s="216"/>
      <c r="N219" s="216"/>
      <c r="V219" s="217"/>
      <c r="W219" s="218"/>
    </row>
    <row r="220" spans="1:23" s="212" customFormat="1" x14ac:dyDescent="0.2">
      <c r="A220"/>
      <c r="B220" s="215"/>
      <c r="H220" s="216"/>
      <c r="I220" s="216"/>
      <c r="J220" s="216"/>
      <c r="K220" s="216"/>
      <c r="L220" s="216"/>
      <c r="M220" s="216"/>
      <c r="N220" s="216"/>
      <c r="V220" s="217"/>
      <c r="W220" s="218"/>
    </row>
    <row r="221" spans="1:23" s="212" customFormat="1" x14ac:dyDescent="0.2">
      <c r="A221"/>
      <c r="B221" s="215"/>
      <c r="H221" s="216"/>
      <c r="I221" s="216"/>
      <c r="J221" s="216"/>
      <c r="K221" s="216"/>
      <c r="L221" s="216"/>
      <c r="M221" s="216"/>
      <c r="N221" s="216"/>
      <c r="V221" s="217"/>
      <c r="W221" s="218"/>
    </row>
    <row r="222" spans="1:23" s="212" customFormat="1" x14ac:dyDescent="0.2">
      <c r="A222"/>
      <c r="B222" s="215"/>
      <c r="H222" s="216"/>
      <c r="I222" s="216"/>
      <c r="J222" s="216"/>
      <c r="K222" s="216"/>
      <c r="L222" s="216"/>
      <c r="M222" s="216"/>
      <c r="N222" s="216"/>
      <c r="V222" s="217"/>
      <c r="W222" s="218"/>
    </row>
    <row r="223" spans="1:23" s="212" customFormat="1" x14ac:dyDescent="0.2">
      <c r="A223"/>
      <c r="B223" s="215"/>
      <c r="H223" s="216"/>
      <c r="I223" s="216"/>
      <c r="J223" s="216"/>
      <c r="K223" s="216"/>
      <c r="L223" s="216"/>
      <c r="M223" s="216"/>
      <c r="N223" s="216"/>
      <c r="V223" s="217"/>
      <c r="W223" s="218"/>
    </row>
    <row r="224" spans="1:23" s="212" customFormat="1" x14ac:dyDescent="0.2">
      <c r="A224"/>
      <c r="B224" s="215"/>
      <c r="H224" s="216"/>
      <c r="I224" s="216"/>
      <c r="J224" s="216"/>
      <c r="K224" s="216"/>
      <c r="L224" s="216"/>
      <c r="M224" s="216"/>
      <c r="N224" s="216"/>
      <c r="V224" s="217"/>
      <c r="W224" s="218"/>
    </row>
    <row r="225" spans="1:23" s="212" customFormat="1" x14ac:dyDescent="0.2">
      <c r="A225"/>
      <c r="B225" s="215"/>
      <c r="H225" s="216"/>
      <c r="I225" s="216"/>
      <c r="J225" s="216"/>
      <c r="K225" s="216"/>
      <c r="L225" s="216"/>
      <c r="M225" s="216"/>
      <c r="N225" s="216"/>
      <c r="V225" s="217"/>
      <c r="W225" s="218"/>
    </row>
    <row r="226" spans="1:23" s="212" customFormat="1" x14ac:dyDescent="0.2">
      <c r="A226"/>
      <c r="B226" s="215"/>
      <c r="H226" s="216"/>
      <c r="I226" s="216"/>
      <c r="J226" s="216"/>
      <c r="K226" s="216"/>
      <c r="L226" s="216"/>
      <c r="M226" s="216"/>
      <c r="N226" s="216"/>
      <c r="V226" s="217"/>
      <c r="W226" s="218"/>
    </row>
    <row r="227" spans="1:23" s="212" customFormat="1" x14ac:dyDescent="0.2">
      <c r="A227"/>
      <c r="B227" s="215"/>
      <c r="H227" s="216"/>
      <c r="I227" s="216"/>
      <c r="J227" s="216"/>
      <c r="K227" s="216"/>
      <c r="L227" s="216"/>
      <c r="M227" s="216"/>
      <c r="N227" s="216"/>
      <c r="V227" s="217"/>
      <c r="W227" s="218"/>
    </row>
    <row r="228" spans="1:23" s="212" customFormat="1" x14ac:dyDescent="0.2">
      <c r="A228"/>
      <c r="B228" s="215"/>
      <c r="H228" s="216"/>
      <c r="I228" s="216"/>
      <c r="J228" s="216"/>
      <c r="K228" s="216"/>
      <c r="L228" s="216"/>
      <c r="M228" s="216"/>
      <c r="N228" s="216"/>
      <c r="V228" s="217"/>
      <c r="W228" s="218"/>
    </row>
    <row r="229" spans="1:23" s="212" customFormat="1" x14ac:dyDescent="0.2">
      <c r="A229"/>
      <c r="B229" s="215"/>
      <c r="H229" s="216"/>
      <c r="I229" s="216"/>
      <c r="J229" s="216"/>
      <c r="K229" s="216"/>
      <c r="L229" s="216"/>
      <c r="M229" s="216"/>
      <c r="N229" s="216"/>
      <c r="V229" s="217"/>
      <c r="W229" s="218"/>
    </row>
    <row r="230" spans="1:23" s="212" customFormat="1" x14ac:dyDescent="0.2">
      <c r="A230"/>
      <c r="B230" s="215"/>
      <c r="H230" s="216"/>
      <c r="I230" s="216"/>
      <c r="J230" s="216"/>
      <c r="K230" s="216"/>
      <c r="L230" s="216"/>
      <c r="M230" s="216"/>
      <c r="N230" s="216"/>
      <c r="V230" s="217"/>
      <c r="W230" s="218"/>
    </row>
    <row r="231" spans="1:23" s="212" customFormat="1" x14ac:dyDescent="0.2">
      <c r="A231"/>
      <c r="B231" s="215"/>
      <c r="H231" s="216"/>
      <c r="I231" s="216"/>
      <c r="J231" s="216"/>
      <c r="K231" s="216"/>
      <c r="L231" s="216"/>
      <c r="M231" s="216"/>
      <c r="N231" s="216"/>
      <c r="V231" s="217"/>
      <c r="W231" s="218"/>
    </row>
    <row r="232" spans="1:23" s="212" customFormat="1" x14ac:dyDescent="0.2">
      <c r="A232"/>
      <c r="B232" s="215"/>
      <c r="H232" s="216"/>
      <c r="I232" s="216"/>
      <c r="J232" s="216"/>
      <c r="K232" s="216"/>
      <c r="L232" s="216"/>
      <c r="M232" s="216"/>
      <c r="N232" s="216"/>
      <c r="V232" s="217"/>
      <c r="W232" s="218"/>
    </row>
    <row r="233" spans="1:23" s="212" customFormat="1" x14ac:dyDescent="0.2">
      <c r="A233"/>
      <c r="B233" s="215"/>
      <c r="H233" s="216"/>
      <c r="I233" s="216"/>
      <c r="J233" s="216"/>
      <c r="K233" s="216"/>
      <c r="L233" s="216"/>
      <c r="M233" s="216"/>
      <c r="N233" s="216"/>
      <c r="V233" s="217"/>
      <c r="W233" s="218"/>
    </row>
    <row r="234" spans="1:23" s="212" customFormat="1" x14ac:dyDescent="0.2">
      <c r="A234"/>
      <c r="B234" s="215"/>
      <c r="H234" s="216"/>
      <c r="I234" s="216"/>
      <c r="J234" s="216"/>
      <c r="K234" s="216"/>
      <c r="L234" s="216"/>
      <c r="M234" s="216"/>
      <c r="N234" s="216"/>
      <c r="V234" s="217"/>
      <c r="W234" s="218"/>
    </row>
    <row r="235" spans="1:23" s="212" customFormat="1" x14ac:dyDescent="0.2">
      <c r="A235"/>
      <c r="B235" s="215"/>
      <c r="H235" s="216"/>
      <c r="I235" s="216"/>
      <c r="J235" s="216"/>
      <c r="K235" s="216"/>
      <c r="L235" s="216"/>
      <c r="M235" s="216"/>
      <c r="N235" s="216"/>
      <c r="V235" s="217"/>
      <c r="W235" s="218"/>
    </row>
    <row r="236" spans="1:23" s="212" customFormat="1" x14ac:dyDescent="0.2">
      <c r="A236"/>
      <c r="B236" s="215"/>
      <c r="H236" s="216"/>
      <c r="I236" s="216"/>
      <c r="J236" s="216"/>
      <c r="K236" s="216"/>
      <c r="L236" s="216"/>
      <c r="M236" s="216"/>
      <c r="N236" s="216"/>
      <c r="V236" s="217"/>
      <c r="W236" s="218"/>
    </row>
    <row r="237" spans="1:23" s="212" customFormat="1" x14ac:dyDescent="0.2">
      <c r="A237"/>
      <c r="B237" s="215"/>
      <c r="H237" s="216"/>
      <c r="I237" s="216"/>
      <c r="J237" s="216"/>
      <c r="K237" s="216"/>
      <c r="L237" s="216"/>
      <c r="M237" s="216"/>
      <c r="N237" s="216"/>
      <c r="V237" s="217"/>
      <c r="W237" s="218"/>
    </row>
    <row r="238" spans="1:23" s="212" customFormat="1" x14ac:dyDescent="0.2">
      <c r="A238"/>
      <c r="B238" s="215"/>
      <c r="H238" s="216"/>
      <c r="I238" s="216"/>
      <c r="J238" s="216"/>
      <c r="K238" s="216"/>
      <c r="L238" s="216"/>
      <c r="M238" s="216"/>
      <c r="N238" s="216"/>
      <c r="V238" s="217"/>
      <c r="W238" s="218"/>
    </row>
    <row r="239" spans="1:23" s="212" customFormat="1" x14ac:dyDescent="0.2">
      <c r="A239"/>
      <c r="B239" s="215"/>
      <c r="H239" s="216"/>
      <c r="I239" s="216"/>
      <c r="J239" s="216"/>
      <c r="K239" s="216"/>
      <c r="L239" s="216"/>
      <c r="M239" s="216"/>
      <c r="N239" s="216"/>
      <c r="V239" s="217"/>
      <c r="W239" s="218"/>
    </row>
    <row r="240" spans="1:23" s="212" customFormat="1" x14ac:dyDescent="0.2">
      <c r="A240"/>
      <c r="B240" s="215"/>
      <c r="H240" s="216"/>
      <c r="I240" s="216"/>
      <c r="J240" s="216"/>
      <c r="K240" s="216"/>
      <c r="L240" s="216"/>
      <c r="M240" s="216"/>
      <c r="N240" s="216"/>
      <c r="V240" s="217"/>
      <c r="W240" s="218"/>
    </row>
    <row r="241" spans="1:23" s="212" customFormat="1" x14ac:dyDescent="0.2">
      <c r="A241"/>
      <c r="B241" s="215"/>
      <c r="H241" s="216"/>
      <c r="I241" s="216"/>
      <c r="J241" s="216"/>
      <c r="K241" s="216"/>
      <c r="L241" s="216"/>
      <c r="M241" s="216"/>
      <c r="N241" s="216"/>
      <c r="V241" s="217"/>
      <c r="W241" s="218"/>
    </row>
    <row r="242" spans="1:23" s="212" customFormat="1" x14ac:dyDescent="0.2">
      <c r="A242"/>
      <c r="B242" s="215"/>
      <c r="H242" s="216"/>
      <c r="I242" s="216"/>
      <c r="J242" s="216"/>
      <c r="K242" s="216"/>
      <c r="L242" s="216"/>
      <c r="M242" s="216"/>
      <c r="N242" s="216"/>
      <c r="V242" s="217"/>
      <c r="W242" s="218"/>
    </row>
    <row r="243" spans="1:23" s="212" customFormat="1" x14ac:dyDescent="0.2">
      <c r="A243"/>
      <c r="B243" s="215"/>
      <c r="H243" s="216"/>
      <c r="I243" s="216"/>
      <c r="J243" s="216"/>
      <c r="K243" s="216"/>
      <c r="L243" s="216"/>
      <c r="M243" s="216"/>
      <c r="N243" s="216"/>
      <c r="V243" s="217"/>
      <c r="W243" s="218"/>
    </row>
    <row r="244" spans="1:23" s="212" customFormat="1" x14ac:dyDescent="0.2">
      <c r="A244"/>
      <c r="B244" s="215"/>
      <c r="H244" s="216"/>
      <c r="I244" s="216"/>
      <c r="J244" s="216"/>
      <c r="K244" s="216"/>
      <c r="L244" s="216"/>
      <c r="M244" s="216"/>
      <c r="N244" s="216"/>
      <c r="V244" s="217"/>
      <c r="W244" s="218"/>
    </row>
    <row r="245" spans="1:23" s="212" customFormat="1" x14ac:dyDescent="0.2">
      <c r="A245"/>
      <c r="B245" s="215"/>
      <c r="H245" s="216"/>
      <c r="I245" s="216"/>
      <c r="J245" s="216"/>
      <c r="K245" s="216"/>
      <c r="L245" s="216"/>
      <c r="M245" s="216"/>
      <c r="N245" s="216"/>
      <c r="V245" s="217"/>
      <c r="W245" s="218"/>
    </row>
    <row r="246" spans="1:23" s="212" customFormat="1" x14ac:dyDescent="0.2">
      <c r="A246"/>
      <c r="B246" s="215"/>
      <c r="H246" s="216"/>
      <c r="I246" s="216"/>
      <c r="J246" s="216"/>
      <c r="K246" s="216"/>
      <c r="L246" s="216"/>
      <c r="M246" s="216"/>
      <c r="N246" s="216"/>
      <c r="V246" s="217"/>
      <c r="W246" s="218"/>
    </row>
    <row r="247" spans="1:23" s="212" customFormat="1" x14ac:dyDescent="0.2">
      <c r="A247"/>
      <c r="B247" s="215"/>
      <c r="H247" s="216"/>
      <c r="I247" s="216"/>
      <c r="J247" s="216"/>
      <c r="K247" s="216"/>
      <c r="L247" s="216"/>
      <c r="M247" s="216"/>
      <c r="N247" s="216"/>
      <c r="V247" s="217"/>
      <c r="W247" s="218"/>
    </row>
    <row r="248" spans="1:23" s="212" customFormat="1" x14ac:dyDescent="0.2">
      <c r="A248"/>
      <c r="B248" s="215"/>
      <c r="H248" s="216"/>
      <c r="I248" s="216"/>
      <c r="J248" s="216"/>
      <c r="K248" s="216"/>
      <c r="L248" s="216"/>
      <c r="M248" s="216"/>
      <c r="N248" s="216"/>
      <c r="V248" s="217"/>
      <c r="W248" s="218"/>
    </row>
    <row r="249" spans="1:23" s="212" customFormat="1" x14ac:dyDescent="0.2">
      <c r="A249"/>
      <c r="B249" s="215"/>
      <c r="H249" s="216"/>
      <c r="I249" s="216"/>
      <c r="J249" s="216"/>
      <c r="K249" s="216"/>
      <c r="L249" s="216"/>
      <c r="M249" s="216"/>
      <c r="N249" s="216"/>
      <c r="V249" s="217"/>
      <c r="W249" s="218"/>
    </row>
    <row r="250" spans="1:23" s="212" customFormat="1" x14ac:dyDescent="0.2">
      <c r="A250"/>
      <c r="B250" s="215"/>
      <c r="H250" s="216"/>
      <c r="I250" s="216"/>
      <c r="J250" s="216"/>
      <c r="K250" s="216"/>
      <c r="L250" s="216"/>
      <c r="M250" s="216"/>
      <c r="N250" s="216"/>
      <c r="V250" s="217"/>
      <c r="W250" s="218"/>
    </row>
    <row r="251" spans="1:23" s="212" customFormat="1" x14ac:dyDescent="0.2">
      <c r="A251"/>
      <c r="B251" s="215"/>
      <c r="H251" s="216"/>
      <c r="I251" s="216"/>
      <c r="J251" s="216"/>
      <c r="K251" s="216"/>
      <c r="L251" s="216"/>
      <c r="M251" s="216"/>
      <c r="N251" s="216"/>
      <c r="V251" s="217"/>
      <c r="W251" s="218"/>
    </row>
    <row r="252" spans="1:23" s="212" customFormat="1" x14ac:dyDescent="0.2">
      <c r="A252"/>
      <c r="B252" s="215"/>
      <c r="H252" s="216"/>
      <c r="I252" s="216"/>
      <c r="J252" s="216"/>
      <c r="K252" s="216"/>
      <c r="L252" s="216"/>
      <c r="M252" s="216"/>
      <c r="N252" s="216"/>
      <c r="V252" s="217"/>
      <c r="W252" s="218"/>
    </row>
    <row r="253" spans="1:23" s="212" customFormat="1" x14ac:dyDescent="0.2">
      <c r="A253"/>
      <c r="B253" s="215"/>
      <c r="H253" s="216"/>
      <c r="I253" s="216"/>
      <c r="J253" s="216"/>
      <c r="K253" s="216"/>
      <c r="L253" s="216"/>
      <c r="M253" s="216"/>
      <c r="N253" s="216"/>
      <c r="V253" s="217"/>
      <c r="W253" s="218"/>
    </row>
    <row r="254" spans="1:23" s="212" customFormat="1" x14ac:dyDescent="0.2">
      <c r="A254"/>
      <c r="B254" s="215"/>
      <c r="H254" s="216"/>
      <c r="I254" s="216"/>
      <c r="J254" s="216"/>
      <c r="K254" s="216"/>
      <c r="L254" s="216"/>
      <c r="M254" s="216"/>
      <c r="N254" s="216"/>
      <c r="V254" s="217"/>
      <c r="W254" s="218"/>
    </row>
    <row r="255" spans="1:23" s="212" customFormat="1" x14ac:dyDescent="0.2">
      <c r="A255"/>
      <c r="B255" s="215"/>
      <c r="H255" s="216"/>
      <c r="I255" s="216"/>
      <c r="J255" s="216"/>
      <c r="K255" s="216"/>
      <c r="L255" s="216"/>
      <c r="M255" s="216"/>
      <c r="N255" s="216"/>
      <c r="V255" s="217"/>
      <c r="W255" s="218"/>
    </row>
    <row r="256" spans="1:23" s="212" customFormat="1" x14ac:dyDescent="0.2">
      <c r="A256"/>
      <c r="B256" s="215"/>
      <c r="H256" s="216"/>
      <c r="I256" s="216"/>
      <c r="J256" s="216"/>
      <c r="K256" s="216"/>
      <c r="L256" s="216"/>
      <c r="M256" s="216"/>
      <c r="N256" s="216"/>
      <c r="V256" s="217"/>
      <c r="W256" s="218"/>
    </row>
    <row r="257" spans="1:23" s="212" customFormat="1" x14ac:dyDescent="0.2">
      <c r="A257"/>
      <c r="B257" s="215"/>
      <c r="H257" s="216"/>
      <c r="I257" s="216"/>
      <c r="J257" s="216"/>
      <c r="K257" s="216"/>
      <c r="L257" s="216"/>
      <c r="M257" s="216"/>
      <c r="N257" s="216"/>
      <c r="V257" s="217"/>
      <c r="W257" s="218"/>
    </row>
    <row r="258" spans="1:23" s="212" customFormat="1" x14ac:dyDescent="0.2">
      <c r="A258"/>
      <c r="B258" s="215"/>
      <c r="V258" s="217"/>
      <c r="W258" s="218"/>
    </row>
    <row r="259" spans="1:23" s="212" customFormat="1" x14ac:dyDescent="0.2">
      <c r="A259"/>
      <c r="B259" s="215"/>
      <c r="V259" s="217"/>
      <c r="W259" s="218"/>
    </row>
    <row r="260" spans="1:23" s="212" customFormat="1" x14ac:dyDescent="0.2">
      <c r="A260"/>
      <c r="B260" s="215"/>
      <c r="V260" s="217"/>
      <c r="W260" s="218"/>
    </row>
    <row r="261" spans="1:23" s="212" customFormat="1" x14ac:dyDescent="0.2">
      <c r="A261"/>
      <c r="B261" s="215"/>
      <c r="V261" s="217"/>
      <c r="W261" s="218"/>
    </row>
    <row r="262" spans="1:23" s="212" customFormat="1" x14ac:dyDescent="0.2">
      <c r="A262"/>
      <c r="B262" s="215"/>
      <c r="V262" s="217"/>
      <c r="W262" s="218"/>
    </row>
    <row r="263" spans="1:23" s="212" customFormat="1" x14ac:dyDescent="0.2">
      <c r="A263"/>
      <c r="B263" s="215"/>
      <c r="V263" s="217"/>
      <c r="W263" s="218"/>
    </row>
    <row r="264" spans="1:23" s="212" customFormat="1" x14ac:dyDescent="0.2">
      <c r="A264"/>
      <c r="B264" s="215"/>
      <c r="V264" s="217"/>
      <c r="W264" s="218"/>
    </row>
    <row r="265" spans="1:23" s="212" customFormat="1" x14ac:dyDescent="0.2">
      <c r="A265"/>
      <c r="B265" s="215"/>
      <c r="V265" s="217"/>
      <c r="W265" s="218"/>
    </row>
    <row r="266" spans="1:23" s="212" customFormat="1" x14ac:dyDescent="0.2">
      <c r="A266"/>
      <c r="B266" s="215"/>
      <c r="V266" s="217"/>
      <c r="W266" s="218"/>
    </row>
    <row r="267" spans="1:23" s="212" customFormat="1" x14ac:dyDescent="0.2">
      <c r="A267"/>
      <c r="B267" s="215"/>
      <c r="V267" s="217"/>
      <c r="W267" s="218"/>
    </row>
    <row r="268" spans="1:23" s="212" customFormat="1" x14ac:dyDescent="0.2">
      <c r="A268"/>
      <c r="B268" s="215"/>
      <c r="V268" s="217"/>
      <c r="W268" s="218"/>
    </row>
    <row r="269" spans="1:23" s="212" customFormat="1" x14ac:dyDescent="0.2">
      <c r="A269"/>
      <c r="B269" s="215"/>
      <c r="V269" s="217"/>
      <c r="W269" s="218"/>
    </row>
    <row r="270" spans="1:23" s="212" customFormat="1" x14ac:dyDescent="0.2">
      <c r="A270"/>
      <c r="B270" s="215"/>
      <c r="V270" s="217"/>
      <c r="W270" s="218"/>
    </row>
    <row r="271" spans="1:23" s="212" customFormat="1" x14ac:dyDescent="0.2">
      <c r="A271"/>
      <c r="B271" s="215"/>
      <c r="V271" s="217"/>
      <c r="W271" s="218"/>
    </row>
    <row r="272" spans="1:23" s="212" customFormat="1" x14ac:dyDescent="0.2">
      <c r="A272"/>
      <c r="B272" s="215"/>
      <c r="V272" s="217"/>
      <c r="W272" s="218"/>
    </row>
    <row r="273" spans="1:23" s="212" customFormat="1" x14ac:dyDescent="0.2">
      <c r="A273"/>
      <c r="B273" s="215"/>
      <c r="V273" s="217"/>
      <c r="W273" s="218"/>
    </row>
    <row r="274" spans="1:23" s="212" customFormat="1" x14ac:dyDescent="0.2">
      <c r="A274"/>
      <c r="B274" s="215"/>
      <c r="V274" s="217"/>
      <c r="W274" s="218"/>
    </row>
    <row r="275" spans="1:23" s="212" customFormat="1" x14ac:dyDescent="0.2">
      <c r="A275"/>
      <c r="B275" s="215"/>
      <c r="V275" s="217"/>
      <c r="W275" s="218"/>
    </row>
    <row r="276" spans="1:23" s="212" customFormat="1" x14ac:dyDescent="0.2">
      <c r="A276"/>
      <c r="B276" s="215"/>
      <c r="V276" s="217"/>
      <c r="W276" s="218"/>
    </row>
    <row r="277" spans="1:23" s="212" customFormat="1" x14ac:dyDescent="0.2">
      <c r="A277"/>
      <c r="B277" s="215"/>
      <c r="V277" s="217"/>
      <c r="W277" s="218"/>
    </row>
    <row r="278" spans="1:23" s="212" customFormat="1" x14ac:dyDescent="0.2">
      <c r="A278"/>
      <c r="B278" s="215"/>
      <c r="V278" s="217"/>
      <c r="W278" s="218"/>
    </row>
    <row r="279" spans="1:23" s="212" customFormat="1" x14ac:dyDescent="0.2">
      <c r="A279"/>
      <c r="B279" s="215"/>
      <c r="V279" s="217"/>
      <c r="W279" s="218"/>
    </row>
    <row r="280" spans="1:23" s="212" customFormat="1" x14ac:dyDescent="0.2">
      <c r="A280"/>
      <c r="B280" s="215"/>
      <c r="V280" s="217"/>
      <c r="W280" s="218"/>
    </row>
    <row r="281" spans="1:23" s="212" customFormat="1" x14ac:dyDescent="0.2">
      <c r="A281"/>
      <c r="B281" s="215"/>
      <c r="V281" s="217"/>
      <c r="W281" s="218"/>
    </row>
    <row r="282" spans="1:23" s="212" customFormat="1" x14ac:dyDescent="0.2">
      <c r="A282"/>
      <c r="B282" s="215"/>
      <c r="V282" s="217"/>
      <c r="W282" s="218"/>
    </row>
    <row r="283" spans="1:23" s="212" customFormat="1" x14ac:dyDescent="0.2">
      <c r="A283"/>
      <c r="B283" s="215"/>
      <c r="V283" s="217"/>
      <c r="W283" s="218"/>
    </row>
    <row r="284" spans="1:23" s="212" customFormat="1" x14ac:dyDescent="0.2">
      <c r="A284"/>
      <c r="B284" s="215"/>
      <c r="V284" s="217"/>
      <c r="W284" s="218"/>
    </row>
    <row r="285" spans="1:23" s="212" customFormat="1" x14ac:dyDescent="0.2">
      <c r="A285"/>
      <c r="B285" s="215"/>
      <c r="V285" s="217"/>
      <c r="W285" s="218"/>
    </row>
    <row r="286" spans="1:23" s="212" customFormat="1" x14ac:dyDescent="0.2">
      <c r="A286"/>
      <c r="B286" s="215"/>
      <c r="V286" s="217"/>
      <c r="W286" s="218"/>
    </row>
    <row r="287" spans="1:23" s="212" customFormat="1" x14ac:dyDescent="0.2">
      <c r="A287"/>
      <c r="B287" s="215"/>
      <c r="V287" s="217"/>
      <c r="W287" s="218"/>
    </row>
    <row r="288" spans="1:23" s="212" customFormat="1" x14ac:dyDescent="0.2">
      <c r="A288"/>
      <c r="B288" s="215"/>
      <c r="V288" s="217"/>
      <c r="W288" s="218"/>
    </row>
    <row r="289" spans="1:23" s="212" customFormat="1" x14ac:dyDescent="0.2">
      <c r="A289"/>
      <c r="B289" s="215"/>
      <c r="V289" s="217"/>
      <c r="W289" s="218"/>
    </row>
    <row r="290" spans="1:23" s="212" customFormat="1" x14ac:dyDescent="0.2">
      <c r="A290"/>
      <c r="B290" s="215"/>
      <c r="V290" s="217"/>
      <c r="W290" s="218"/>
    </row>
    <row r="291" spans="1:23" s="212" customFormat="1" x14ac:dyDescent="0.2">
      <c r="A291"/>
      <c r="B291" s="215"/>
      <c r="V291" s="217"/>
      <c r="W291" s="218"/>
    </row>
    <row r="292" spans="1:23" s="212" customFormat="1" x14ac:dyDescent="0.2">
      <c r="A292"/>
      <c r="B292" s="215"/>
      <c r="V292" s="217"/>
      <c r="W292" s="218"/>
    </row>
    <row r="293" spans="1:23" s="212" customFormat="1" x14ac:dyDescent="0.2">
      <c r="A293"/>
      <c r="B293" s="215"/>
      <c r="V293" s="217"/>
      <c r="W293" s="218"/>
    </row>
    <row r="294" spans="1:23" s="212" customFormat="1" x14ac:dyDescent="0.2">
      <c r="A294"/>
      <c r="B294" s="215"/>
      <c r="V294" s="217"/>
      <c r="W294" s="218"/>
    </row>
    <row r="295" spans="1:23" s="212" customFormat="1" x14ac:dyDescent="0.2">
      <c r="A295"/>
      <c r="B295" s="215"/>
      <c r="V295" s="217"/>
      <c r="W295" s="218"/>
    </row>
    <row r="296" spans="1:23" s="212" customFormat="1" x14ac:dyDescent="0.2">
      <c r="A296"/>
      <c r="B296" s="215"/>
      <c r="V296" s="217"/>
      <c r="W296" s="218"/>
    </row>
    <row r="297" spans="1:23" s="212" customFormat="1" x14ac:dyDescent="0.2">
      <c r="A297"/>
      <c r="B297" s="215"/>
      <c r="V297" s="217"/>
      <c r="W297" s="218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2023 (2)</vt:lpstr>
      <vt:lpstr>'сентябрь 2023 (2)'!Заголовки_для_печати</vt:lpstr>
      <vt:lpstr>'сентябрь 2023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2023-10-19T09:58:16Z</dcterms:created>
  <dcterms:modified xsi:type="dcterms:W3CDTF">2023-10-19T09:59:01Z</dcterms:modified>
</cp:coreProperties>
</file>